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215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rreezzzz/Documents/projects/Olympo/"/>
    </mc:Choice>
  </mc:AlternateContent>
  <xr:revisionPtr revIDLastSave="0" documentId="13_ncr:1_{FD4FD6F5-9170-1446-8373-922C86DE05C5}" xr6:coauthVersionLast="47" xr6:coauthVersionMax="47" xr10:uidLastSave="{00000000-0000-0000-0000-000000000000}"/>
  <bookViews>
    <workbookView xWindow="0" yWindow="780" windowWidth="36000" windowHeight="22600" xr2:uid="{00000000-000D-0000-FFFF-FFFF00000000}"/>
  </bookViews>
  <sheets>
    <sheet name="Inputs" sheetId="1" r:id="rId1"/>
    <sheet name="Revenue Calc" sheetId="2" r:id="rId2"/>
    <sheet name="Scenarios" sheetId="3" r:id="rId3"/>
    <sheet name="5-Year Projection" sheetId="4" r:id="rId4"/>
    <sheet name="Summary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1" i="4" l="1"/>
  <c r="E31" i="4"/>
  <c r="D31" i="4"/>
  <c r="C31" i="4"/>
  <c r="B31" i="4"/>
  <c r="B40" i="4" s="1"/>
  <c r="E10" i="4"/>
  <c r="E9" i="4"/>
  <c r="E8" i="4"/>
  <c r="E7" i="4"/>
  <c r="E6" i="4"/>
  <c r="D32" i="3"/>
  <c r="C32" i="3"/>
  <c r="C31" i="3"/>
  <c r="D31" i="3" s="1"/>
  <c r="D30" i="3"/>
  <c r="C30" i="3"/>
  <c r="C29" i="3"/>
  <c r="D29" i="3" s="1"/>
  <c r="D28" i="3"/>
  <c r="C28" i="3"/>
  <c r="C22" i="3"/>
  <c r="D22" i="3" s="1"/>
  <c r="C21" i="3"/>
  <c r="D21" i="3" s="1"/>
  <c r="C20" i="3"/>
  <c r="D20" i="3" s="1"/>
  <c r="C19" i="3"/>
  <c r="D19" i="3" s="1"/>
  <c r="C18" i="3"/>
  <c r="D18" i="3" s="1"/>
  <c r="C17" i="3"/>
  <c r="D17" i="3" s="1"/>
  <c r="C10" i="3"/>
  <c r="D10" i="3" s="1"/>
  <c r="C9" i="3"/>
  <c r="D9" i="3" s="1"/>
  <c r="C8" i="3"/>
  <c r="D8" i="3" s="1"/>
  <c r="C7" i="3"/>
  <c r="D7" i="3" s="1"/>
  <c r="C6" i="3"/>
  <c r="D6" i="3" s="1"/>
  <c r="B84" i="2"/>
  <c r="B85" i="2" s="1"/>
  <c r="B32" i="3" s="1"/>
  <c r="B81" i="2"/>
  <c r="B82" i="2" s="1"/>
  <c r="B31" i="3" s="1"/>
  <c r="B80" i="2"/>
  <c r="B77" i="2"/>
  <c r="B78" i="2" s="1"/>
  <c r="B30" i="3" s="1"/>
  <c r="B72" i="2"/>
  <c r="B69" i="2"/>
  <c r="B67" i="2"/>
  <c r="B68" i="2" s="1"/>
  <c r="B63" i="2"/>
  <c r="B64" i="2" s="1"/>
  <c r="B65" i="2" s="1"/>
  <c r="B56" i="2"/>
  <c r="B57" i="2" s="1"/>
  <c r="B52" i="2"/>
  <c r="B53" i="2" s="1"/>
  <c r="B54" i="2" s="1"/>
  <c r="B49" i="2"/>
  <c r="B50" i="2" s="1"/>
  <c r="B44" i="2"/>
  <c r="B41" i="2"/>
  <c r="B42" i="2" s="1"/>
  <c r="B43" i="2" s="1"/>
  <c r="B45" i="2" s="1"/>
  <c r="B46" i="2" s="1"/>
  <c r="B39" i="2"/>
  <c r="B40" i="2" s="1"/>
  <c r="B35" i="2"/>
  <c r="B36" i="2" s="1"/>
  <c r="B37" i="2" s="1"/>
  <c r="B28" i="2"/>
  <c r="B29" i="2" s="1"/>
  <c r="B10" i="3" s="1"/>
  <c r="B24" i="2"/>
  <c r="B25" i="2" s="1"/>
  <c r="B26" i="2" s="1"/>
  <c r="B9" i="3" s="1"/>
  <c r="B21" i="2"/>
  <c r="B22" i="2" s="1"/>
  <c r="B8" i="3" s="1"/>
  <c r="B16" i="2"/>
  <c r="B13" i="2"/>
  <c r="B14" i="2" s="1"/>
  <c r="B15" i="2" s="1"/>
  <c r="B17" i="2" s="1"/>
  <c r="B18" i="2" s="1"/>
  <c r="B11" i="2"/>
  <c r="B12" i="2" s="1"/>
  <c r="B7" i="2"/>
  <c r="B8" i="2" s="1"/>
  <c r="B9" i="2" s="1"/>
  <c r="B44" i="1"/>
  <c r="B12" i="5" s="1"/>
  <c r="C41" i="1"/>
  <c r="C39" i="1"/>
  <c r="B34" i="1"/>
  <c r="B13" i="5" s="1"/>
  <c r="B19" i="2" l="1"/>
  <c r="B7" i="3" s="1"/>
  <c r="B70" i="2"/>
  <c r="B71" i="2" s="1"/>
  <c r="B73" i="2" s="1"/>
  <c r="B74" i="2" s="1"/>
  <c r="B75" i="2" s="1"/>
  <c r="E9" i="3"/>
  <c r="F9" i="3" s="1"/>
  <c r="B26" i="4"/>
  <c r="B21" i="3"/>
  <c r="E7" i="3"/>
  <c r="F7" i="3" s="1"/>
  <c r="B47" i="2"/>
  <c r="F10" i="3"/>
  <c r="E10" i="3"/>
  <c r="B30" i="2"/>
  <c r="B6" i="5" s="1"/>
  <c r="B6" i="3"/>
  <c r="E30" i="3"/>
  <c r="F30" i="3" s="1"/>
  <c r="B24" i="4"/>
  <c r="B19" i="3"/>
  <c r="E32" i="3"/>
  <c r="F32" i="3"/>
  <c r="B28" i="3"/>
  <c r="B22" i="4"/>
  <c r="B17" i="3"/>
  <c r="E8" i="3"/>
  <c r="F8" i="3"/>
  <c r="B20" i="3"/>
  <c r="B25" i="4"/>
  <c r="E31" i="3"/>
  <c r="F31" i="3" s="1"/>
  <c r="C11" i="3"/>
  <c r="C42" i="1"/>
  <c r="C23" i="3"/>
  <c r="D23" i="3" s="1"/>
  <c r="B42" i="4"/>
  <c r="C43" i="1"/>
  <c r="C33" i="3"/>
  <c r="C40" i="1"/>
  <c r="B35" i="1"/>
  <c r="E11" i="4"/>
  <c r="B29" i="3" l="1"/>
  <c r="E29" i="3" s="1"/>
  <c r="F29" i="3" s="1"/>
  <c r="B86" i="2"/>
  <c r="D6" i="5" s="1"/>
  <c r="E28" i="3"/>
  <c r="B33" i="3"/>
  <c r="F28" i="3"/>
  <c r="B23" i="4"/>
  <c r="F30" i="4" s="1"/>
  <c r="B18" i="3"/>
  <c r="E20" i="3"/>
  <c r="F20" i="3" s="1"/>
  <c r="E19" i="3"/>
  <c r="F19" i="3" s="1"/>
  <c r="C34" i="3"/>
  <c r="D34" i="3" s="1"/>
  <c r="D33" i="3"/>
  <c r="B14" i="5"/>
  <c r="C7" i="5"/>
  <c r="B7" i="5"/>
  <c r="D7" i="5"/>
  <c r="E21" i="3"/>
  <c r="F21" i="3" s="1"/>
  <c r="B11" i="3"/>
  <c r="E6" i="3"/>
  <c r="F6" i="3" s="1"/>
  <c r="E17" i="3"/>
  <c r="F17" i="3" s="1"/>
  <c r="B8" i="5"/>
  <c r="B10" i="5" s="1"/>
  <c r="B58" i="2"/>
  <c r="C6" i="5" s="1"/>
  <c r="C12" i="3"/>
  <c r="D12" i="3" s="1"/>
  <c r="D11" i="3"/>
  <c r="D8" i="5"/>
  <c r="D10" i="5" s="1"/>
  <c r="B30" i="4" l="1"/>
  <c r="C30" i="4"/>
  <c r="E30" i="4"/>
  <c r="D30" i="4"/>
  <c r="D32" i="4" s="1"/>
  <c r="D33" i="4" s="1"/>
  <c r="C32" i="4"/>
  <c r="C33" i="4" s="1"/>
  <c r="B12" i="3"/>
  <c r="E11" i="3"/>
  <c r="F11" i="3" s="1"/>
  <c r="F32" i="4"/>
  <c r="F33" i="4" s="1"/>
  <c r="E18" i="3"/>
  <c r="F18" i="3" s="1"/>
  <c r="B22" i="3"/>
  <c r="B34" i="3"/>
  <c r="E33" i="3"/>
  <c r="F33" i="3" s="1"/>
  <c r="B39" i="4"/>
  <c r="B32" i="4"/>
  <c r="E32" i="4"/>
  <c r="E33" i="4"/>
  <c r="D9" i="5"/>
  <c r="C8" i="5"/>
  <c r="C10" i="5" s="1"/>
  <c r="C9" i="5"/>
  <c r="B9" i="5"/>
  <c r="E12" i="3" l="1"/>
  <c r="B13" i="3" s="1"/>
  <c r="F12" i="3"/>
  <c r="B41" i="4"/>
  <c r="B43" i="4" s="1"/>
  <c r="B34" i="4"/>
  <c r="B33" i="4"/>
  <c r="E34" i="3"/>
  <c r="B35" i="3" s="1"/>
  <c r="F34" i="3"/>
  <c r="E22" i="3"/>
  <c r="F22" i="3" s="1"/>
  <c r="B23" i="3"/>
  <c r="E23" i="3" l="1"/>
  <c r="B24" i="3" s="1"/>
  <c r="B35" i="4"/>
  <c r="C34" i="4"/>
  <c r="B36" i="4"/>
  <c r="C35" i="4" l="1"/>
  <c r="D34" i="4"/>
  <c r="C36" i="4"/>
  <c r="F23" i="3"/>
  <c r="E34" i="4" l="1"/>
  <c r="D36" i="4"/>
  <c r="D35" i="4"/>
  <c r="F34" i="4" l="1"/>
  <c r="E36" i="4"/>
  <c r="E35" i="4"/>
  <c r="F36" i="4" l="1"/>
  <c r="F35" i="4"/>
</calcChain>
</file>

<file path=xl/sharedStrings.xml><?xml version="1.0" encoding="utf-8"?>
<sst xmlns="http://schemas.openxmlformats.org/spreadsheetml/2006/main" count="296" uniqueCount="166">
  <si>
    <t>OLYMPO SPORT COMPLEX — Input Parameters</t>
  </si>
  <si>
    <t>Yellow cells are editable — all other sheets recalculate</t>
  </si>
  <si>
    <t>PRICING</t>
  </si>
  <si>
    <t>Parameter</t>
  </si>
  <si>
    <t>Value</t>
  </si>
  <si>
    <t>Unit</t>
  </si>
  <si>
    <t>Padel court price</t>
  </si>
  <si>
    <t>GEL/hour per court</t>
  </si>
  <si>
    <t>Pool per-visit price</t>
  </si>
  <si>
    <t>GEL/visit</t>
  </si>
  <si>
    <t>Pool monthly subscription</t>
  </si>
  <si>
    <t>GEL/month</t>
  </si>
  <si>
    <t>Gym monthly subscription</t>
  </si>
  <si>
    <t>Squash court price (30 min)</t>
  </si>
  <si>
    <t>GEL/30min per court</t>
  </si>
  <si>
    <t>Ice rink per-visit price</t>
  </si>
  <si>
    <t>VOLUME PARAMETERS (Annual, Base/Moderate)</t>
  </si>
  <si>
    <t>Padel: number of courts</t>
  </si>
  <si>
    <t>courts</t>
  </si>
  <si>
    <t>Padel: avg hours/day/court</t>
  </si>
  <si>
    <t>hours</t>
  </si>
  <si>
    <t>Padel: operating days/year</t>
  </si>
  <si>
    <t>days</t>
  </si>
  <si>
    <t>Pool: total annual visits (all entries)</t>
  </si>
  <si>
    <t>visits/year</t>
  </si>
  <si>
    <t>Pool: annual unique visitors</t>
  </si>
  <si>
    <t>persons/year</t>
  </si>
  <si>
    <t>Pool: annual subscriptions sold</t>
  </si>
  <si>
    <t>subscriptions/year</t>
  </si>
  <si>
    <t>Gym: annual subscriptions sold</t>
  </si>
  <si>
    <t>Squash: annual person-visits</t>
  </si>
  <si>
    <t>person-visits/year</t>
  </si>
  <si>
    <t>Squash: players per booking</t>
  </si>
  <si>
    <t>persons</t>
  </si>
  <si>
    <t>Ice: annual visits</t>
  </si>
  <si>
    <t>MONTHLY OPERATING EXPENSES (OPEX)</t>
  </si>
  <si>
    <t>Facility</t>
  </si>
  <si>
    <t>Monthly OPEX (GEL)</t>
  </si>
  <si>
    <t>Note</t>
  </si>
  <si>
    <t>Padel Courts</t>
  </si>
  <si>
    <t>10 courts</t>
  </si>
  <si>
    <t>Swimming Pools</t>
  </si>
  <si>
    <t>Indoor 30K + Outdoor 15K</t>
  </si>
  <si>
    <t>Fitness Center</t>
  </si>
  <si>
    <t>Full facility</t>
  </si>
  <si>
    <t>Squash Courts</t>
  </si>
  <si>
    <t>All courts</t>
  </si>
  <si>
    <t>Ice Rink</t>
  </si>
  <si>
    <t>Full arena</t>
  </si>
  <si>
    <t>Misc OPEX rate</t>
  </si>
  <si>
    <t>Added to total OPEX</t>
  </si>
  <si>
    <t>Total Monthly OPEX (base)</t>
  </si>
  <si>
    <t>Total Monthly OPEX (+misc)</t>
  </si>
  <si>
    <t>CAPITAL EXPENDITURE (CAPEX)</t>
  </si>
  <si>
    <t>CAPEX (GEL)</t>
  </si>
  <si>
    <t>% of Total</t>
  </si>
  <si>
    <t>TOTAL CAPEX</t>
  </si>
  <si>
    <t>SCENARIO MULTIPLIERS</t>
  </si>
  <si>
    <t>Scenario</t>
  </si>
  <si>
    <t>Multiplier</t>
  </si>
  <si>
    <t>Description</t>
  </si>
  <si>
    <t>Conservative</t>
  </si>
  <si>
    <t>80% of base volumes</t>
  </si>
  <si>
    <t>Moderate (Realistic)</t>
  </si>
  <si>
    <t>Base volumes</t>
  </si>
  <si>
    <t>Optimistic</t>
  </si>
  <si>
    <t>120% of base volumes</t>
  </si>
  <si>
    <t>REVENUE CALCULATION — Step by Step</t>
  </si>
  <si>
    <t>Each row is one simple formula referencing Inputs</t>
  </si>
  <si>
    <t>CONSERVATIVE (×0.80)</t>
  </si>
  <si>
    <t>Step</t>
  </si>
  <si>
    <t>PADEL COURTS</t>
  </si>
  <si>
    <t xml:space="preserve">  Adjusted hours/day</t>
  </si>
  <si>
    <t xml:space="preserve">  Annual court-hours</t>
  </si>
  <si>
    <t xml:space="preserve">  Padel Revenue</t>
  </si>
  <si>
    <t>SWIMMING POOLS</t>
  </si>
  <si>
    <t xml:space="preserve">  Subscriptions (scaled)</t>
  </si>
  <si>
    <t xml:space="preserve">  Subscription revenue</t>
  </si>
  <si>
    <t xml:space="preserve">  Unique visitors (scaled)</t>
  </si>
  <si>
    <t xml:space="preserve">  Per-visit unique visitors</t>
  </si>
  <si>
    <t xml:space="preserve">  Per-visit entries (est.)</t>
  </si>
  <si>
    <t xml:space="preserve">  Total visits (scaled)</t>
  </si>
  <si>
    <t xml:space="preserve">  Per-visit entries (capped)</t>
  </si>
  <si>
    <t xml:space="preserve">  Per-visit revenue</t>
  </si>
  <si>
    <t xml:space="preserve">  Pool Revenue</t>
  </si>
  <si>
    <t>FITNESS CENTER</t>
  </si>
  <si>
    <t xml:space="preserve">  Gym Revenue</t>
  </si>
  <si>
    <t>SQUASH COURTS</t>
  </si>
  <si>
    <t xml:space="preserve">  Person-visits (scaled)</t>
  </si>
  <si>
    <t xml:space="preserve">  Court bookings</t>
  </si>
  <si>
    <t xml:space="preserve">  Squash Revenue</t>
  </si>
  <si>
    <t>ICE RINK</t>
  </si>
  <si>
    <t xml:space="preserve">  Visits (scaled)</t>
  </si>
  <si>
    <t xml:space="preserve">  Ice Revenue</t>
  </si>
  <si>
    <t>TOTAL REVENUE</t>
  </si>
  <si>
    <t>MODERATE (×1.00)</t>
  </si>
  <si>
    <t>OPTIMISTIC (×1.20)</t>
  </si>
  <si>
    <t>REVENUE SCENARIOS — Summary</t>
  </si>
  <si>
    <t>References step-by-step calculations from Revenue Calc sheet</t>
  </si>
  <si>
    <t>CONSERVATIVE (80%)</t>
  </si>
  <si>
    <t>Annual Revenue</t>
  </si>
  <si>
    <t>Monthly OPEX</t>
  </si>
  <si>
    <t>Annual OPEX</t>
  </si>
  <si>
    <t>Annual Profit</t>
  </si>
  <si>
    <t>Margin</t>
  </si>
  <si>
    <t>Subtotal (before misc)</t>
  </si>
  <si>
    <t>TOTAL (with 5% misc OPEX)</t>
  </si>
  <si>
    <t>Payback (years)</t>
  </si>
  <si>
    <t>MODERATE (REALISTIC)</t>
  </si>
  <si>
    <t>OPTIMISTIC (120%)</t>
  </si>
  <si>
    <t>5-YEAR FINANCIAL PROJECTION — Moderate Scenario</t>
  </si>
  <si>
    <t>Based on phased construction timeline</t>
  </si>
  <si>
    <t>CONSTRUCTION TIMELINE</t>
  </si>
  <si>
    <t>Phase</t>
  </si>
  <si>
    <t>Build Period</t>
  </si>
  <si>
    <t>Opens</t>
  </si>
  <si>
    <t>CAPEX</t>
  </si>
  <si>
    <t>Phase 1</t>
  </si>
  <si>
    <t>Months 0-8</t>
  </si>
  <si>
    <t>Month 8</t>
  </si>
  <si>
    <t>Phase 2</t>
  </si>
  <si>
    <t>Months 12-22</t>
  </si>
  <si>
    <t>Month 22</t>
  </si>
  <si>
    <t>Phase 3</t>
  </si>
  <si>
    <t>Months 18-26</t>
  </si>
  <si>
    <t>Month 26</t>
  </si>
  <si>
    <t>Phase 4</t>
  </si>
  <si>
    <t>Months 30-42</t>
  </si>
  <si>
    <t>Month 42</t>
  </si>
  <si>
    <t>Phase 5</t>
  </si>
  <si>
    <t>Months 30-36</t>
  </si>
  <si>
    <t>Month 36</t>
  </si>
  <si>
    <t>TOTAL</t>
  </si>
  <si>
    <t>ACTIVE MONTHS PER YEAR</t>
  </si>
  <si>
    <t>Year 1</t>
  </si>
  <si>
    <t>Year 2</t>
  </si>
  <si>
    <t>Year 3</t>
  </si>
  <si>
    <t>Year 4</t>
  </si>
  <si>
    <t>Year 5</t>
  </si>
  <si>
    <t>FULL-YEAR REVENUE (moderate)</t>
  </si>
  <si>
    <t>YEAR-BY-YEAR FINANCIALS</t>
  </si>
  <si>
    <t>Revenue (GEL)</t>
  </si>
  <si>
    <t>OPEX (GEL)</t>
  </si>
  <si>
    <t>Net Profit (GEL)</t>
  </si>
  <si>
    <t>Cumulative Profit</t>
  </si>
  <si>
    <t>vs. CAPEX</t>
  </si>
  <si>
    <t>CAPEX Recovered?</t>
  </si>
  <si>
    <t>5-YEAR TOTALS</t>
  </si>
  <si>
    <t>Total Revenue</t>
  </si>
  <si>
    <t>Total OPEX</t>
  </si>
  <si>
    <t>Total Net Profit</t>
  </si>
  <si>
    <t>Total CAPEX</t>
  </si>
  <si>
    <t>5-Year ROI</t>
  </si>
  <si>
    <t>OLYMPO SPORT COMPLEX — Financial Summary</t>
  </si>
  <si>
    <t>PPP Project | Government Decree N194 | June 3, 2025</t>
  </si>
  <si>
    <t>SCENARIO COMPARISON</t>
  </si>
  <si>
    <t>Metric</t>
  </si>
  <si>
    <t>Moderate</t>
  </si>
  <si>
    <t>Annual OPEX (with misc)</t>
  </si>
  <si>
    <t>Annual Net Profit</t>
  </si>
  <si>
    <t>Profit Margin</t>
  </si>
  <si>
    <t>Payback Period (years)</t>
  </si>
  <si>
    <t>Monthly OPEX (base)</t>
  </si>
  <si>
    <t>Monthly OPEX (with misc)</t>
  </si>
  <si>
    <t>Jobs Created</t>
  </si>
  <si>
    <t>120+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</si>
</sst>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"/>
  </numFmts>
  <fonts count="7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rgb="FF666666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FFFFFF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4472C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rgb="FF4472C4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1" xfId="0" applyFont="1" applyBorder="1"/>
    <xf numFmtId="0" fontId="4" fillId="2" borderId="2" xfId="0" applyFont="1" applyFill="1" applyBorder="1" applyAlignment="1">
      <alignment horizontal="center" wrapText="1"/>
    </xf>
    <xf numFmtId="0" fontId="5" fillId="0" borderId="2" xfId="0" applyFont="1" applyBorder="1" applyAlignment="1">
      <alignment horizontal="left"/>
    </xf>
    <xf numFmtId="3" fontId="6" fillId="3" borderId="2" xfId="0" applyNumberFormat="1" applyFont="1" applyFill="1" applyBorder="1" applyAlignment="1">
      <alignment horizontal="right"/>
    </xf>
    <xf numFmtId="164" fontId="6" fillId="3" borderId="2" xfId="0" applyNumberFormat="1" applyFont="1" applyFill="1" applyBorder="1" applyAlignment="1">
      <alignment horizontal="right"/>
    </xf>
    <xf numFmtId="0" fontId="6" fillId="0" borderId="2" xfId="0" applyFont="1" applyBorder="1" applyAlignment="1">
      <alignment horizontal="left"/>
    </xf>
    <xf numFmtId="3" fontId="6" fillId="0" borderId="2" xfId="0" applyNumberFormat="1" applyFont="1" applyBorder="1" applyAlignment="1">
      <alignment horizontal="right"/>
    </xf>
    <xf numFmtId="0" fontId="6" fillId="4" borderId="2" xfId="0" applyFont="1" applyFill="1" applyBorder="1" applyAlignment="1">
      <alignment horizontal="left"/>
    </xf>
    <xf numFmtId="3" fontId="6" fillId="4" borderId="2" xfId="0" applyNumberFormat="1" applyFont="1" applyFill="1" applyBorder="1" applyAlignment="1">
      <alignment horizontal="right"/>
    </xf>
    <xf numFmtId="164" fontId="5" fillId="0" borderId="2" xfId="0" applyNumberFormat="1" applyFont="1" applyBorder="1" applyAlignment="1">
      <alignment horizontal="right"/>
    </xf>
    <xf numFmtId="164" fontId="6" fillId="4" borderId="2" xfId="0" applyNumberFormat="1" applyFont="1" applyFill="1" applyBorder="1" applyAlignment="1">
      <alignment horizontal="right"/>
    </xf>
    <xf numFmtId="2" fontId="6" fillId="3" borderId="2" xfId="0" applyNumberFormat="1" applyFont="1" applyFill="1" applyBorder="1" applyAlignment="1">
      <alignment horizontal="right"/>
    </xf>
    <xf numFmtId="0" fontId="6" fillId="0" borderId="0" xfId="0" applyFont="1"/>
    <xf numFmtId="3" fontId="5" fillId="0" borderId="2" xfId="0" applyNumberFormat="1" applyFont="1" applyBorder="1" applyAlignment="1">
      <alignment horizontal="right"/>
    </xf>
    <xf numFmtId="164" fontId="6" fillId="0" borderId="2" xfId="0" applyNumberFormat="1" applyFont="1" applyBorder="1" applyAlignment="1">
      <alignment horizontal="right"/>
    </xf>
    <xf numFmtId="2" fontId="5" fillId="0" borderId="2" xfId="0" applyNumberFormat="1" applyFont="1" applyBorder="1" applyAlignment="1">
      <alignment horizontal="right"/>
    </xf>
    <xf numFmtId="0" fontId="5" fillId="3" borderId="2" xfId="0" applyFont="1" applyFill="1" applyBorder="1" applyAlignment="1">
      <alignment horizontal="right"/>
    </xf>
    <xf numFmtId="165" fontId="5" fillId="0" borderId="2" xfId="0" applyNumberFormat="1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0"/>
  <sheetViews>
    <sheetView tabSelected="1" topLeftCell="A32" zoomScale="130" zoomScaleNormal="130" workbookViewId="0"/>
  </sheetViews>
  <sheetFormatPr baseColWidth="10" defaultColWidth="8.83203125" defaultRowHeight="15" x14ac:dyDescent="0.2"/>
  <cols>
    <col min="1" max="1" width="38.6640625" customWidth="1"/>
    <col min="2" max="2" width="18.6640625" customWidth="1"/>
    <col min="3" max="3" width="28.6640625" customWidth="1"/>
  </cols>
  <sheetData>
    <row r="1" spans="1:3" ht="19" x14ac:dyDescent="0.25">
      <c r="A1" s="1" t="s">
        <v>0</v>
      </c>
    </row>
    <row r="2" spans="1:3" x14ac:dyDescent="0.2">
      <c r="A2" s="2" t="s">
        <v>1</v>
      </c>
    </row>
    <row r="4" spans="1:3" ht="16" x14ac:dyDescent="0.2">
      <c r="A4" s="3" t="s">
        <v>2</v>
      </c>
    </row>
    <row r="5" spans="1:3" x14ac:dyDescent="0.2">
      <c r="A5" s="4" t="s">
        <v>3</v>
      </c>
      <c r="B5" s="4" t="s">
        <v>4</v>
      </c>
      <c r="C5" s="4" t="s">
        <v>5</v>
      </c>
    </row>
    <row r="6" spans="1:3" x14ac:dyDescent="0.2">
      <c r="A6" s="5" t="s">
        <v>6</v>
      </c>
      <c r="B6" s="6">
        <v>80</v>
      </c>
      <c r="C6" s="5" t="s">
        <v>7</v>
      </c>
    </row>
    <row r="7" spans="1:3" x14ac:dyDescent="0.2">
      <c r="A7" s="5" t="s">
        <v>8</v>
      </c>
      <c r="B7" s="6">
        <v>40</v>
      </c>
      <c r="C7" s="5" t="s">
        <v>9</v>
      </c>
    </row>
    <row r="8" spans="1:3" x14ac:dyDescent="0.2">
      <c r="A8" s="5" t="s">
        <v>10</v>
      </c>
      <c r="B8" s="6">
        <v>300</v>
      </c>
      <c r="C8" s="5" t="s">
        <v>11</v>
      </c>
    </row>
    <row r="9" spans="1:3" x14ac:dyDescent="0.2">
      <c r="A9" s="5" t="s">
        <v>12</v>
      </c>
      <c r="B9" s="6">
        <v>150</v>
      </c>
      <c r="C9" s="5" t="s">
        <v>11</v>
      </c>
    </row>
    <row r="10" spans="1:3" x14ac:dyDescent="0.2">
      <c r="A10" s="5" t="s">
        <v>13</v>
      </c>
      <c r="B10" s="6">
        <v>30</v>
      </c>
      <c r="C10" s="5" t="s">
        <v>14</v>
      </c>
    </row>
    <row r="11" spans="1:3" x14ac:dyDescent="0.2">
      <c r="A11" s="5" t="s">
        <v>15</v>
      </c>
      <c r="B11" s="6">
        <v>30</v>
      </c>
      <c r="C11" s="5" t="s">
        <v>9</v>
      </c>
    </row>
    <row r="13" spans="1:3" ht="16" x14ac:dyDescent="0.2">
      <c r="A13" s="3" t="s">
        <v>16</v>
      </c>
    </row>
    <row r="14" spans="1:3" x14ac:dyDescent="0.2">
      <c r="A14" s="4" t="s">
        <v>3</v>
      </c>
      <c r="B14" s="4" t="s">
        <v>4</v>
      </c>
      <c r="C14" s="4" t="s">
        <v>5</v>
      </c>
    </row>
    <row r="15" spans="1:3" x14ac:dyDescent="0.2">
      <c r="A15" s="5" t="s">
        <v>17</v>
      </c>
      <c r="B15" s="6">
        <v>10</v>
      </c>
      <c r="C15" s="5" t="s">
        <v>18</v>
      </c>
    </row>
    <row r="16" spans="1:3" x14ac:dyDescent="0.2">
      <c r="A16" s="5" t="s">
        <v>19</v>
      </c>
      <c r="B16" s="6">
        <v>8</v>
      </c>
      <c r="C16" s="5" t="s">
        <v>20</v>
      </c>
    </row>
    <row r="17" spans="1:3" x14ac:dyDescent="0.2">
      <c r="A17" s="5" t="s">
        <v>21</v>
      </c>
      <c r="B17" s="6">
        <v>365</v>
      </c>
      <c r="C17" s="5" t="s">
        <v>22</v>
      </c>
    </row>
    <row r="18" spans="1:3" x14ac:dyDescent="0.2">
      <c r="A18" s="5" t="s">
        <v>23</v>
      </c>
      <c r="B18" s="6">
        <v>40000</v>
      </c>
      <c r="C18" s="5" t="s">
        <v>24</v>
      </c>
    </row>
    <row r="19" spans="1:3" x14ac:dyDescent="0.2">
      <c r="A19" s="5" t="s">
        <v>25</v>
      </c>
      <c r="B19" s="6">
        <v>11000</v>
      </c>
      <c r="C19" s="5" t="s">
        <v>26</v>
      </c>
    </row>
    <row r="20" spans="1:3" x14ac:dyDescent="0.2">
      <c r="A20" s="5" t="s">
        <v>27</v>
      </c>
      <c r="B20" s="6">
        <v>4000</v>
      </c>
      <c r="C20" s="5" t="s">
        <v>28</v>
      </c>
    </row>
    <row r="21" spans="1:3" x14ac:dyDescent="0.2">
      <c r="A21" s="5" t="s">
        <v>29</v>
      </c>
      <c r="B21" s="6">
        <v>16000</v>
      </c>
      <c r="C21" s="5" t="s">
        <v>28</v>
      </c>
    </row>
    <row r="22" spans="1:3" x14ac:dyDescent="0.2">
      <c r="A22" s="5" t="s">
        <v>30</v>
      </c>
      <c r="B22" s="6">
        <v>8000</v>
      </c>
      <c r="C22" s="5" t="s">
        <v>31</v>
      </c>
    </row>
    <row r="23" spans="1:3" x14ac:dyDescent="0.2">
      <c r="A23" s="5" t="s">
        <v>32</v>
      </c>
      <c r="B23" s="6">
        <v>2</v>
      </c>
      <c r="C23" s="5" t="s">
        <v>33</v>
      </c>
    </row>
    <row r="24" spans="1:3" x14ac:dyDescent="0.2">
      <c r="A24" s="5" t="s">
        <v>34</v>
      </c>
      <c r="B24" s="6">
        <v>60000</v>
      </c>
      <c r="C24" s="5" t="s">
        <v>24</v>
      </c>
    </row>
    <row r="26" spans="1:3" ht="16" x14ac:dyDescent="0.2">
      <c r="A26" s="3" t="s">
        <v>35</v>
      </c>
    </row>
    <row r="27" spans="1:3" x14ac:dyDescent="0.2">
      <c r="A27" s="4" t="s">
        <v>36</v>
      </c>
      <c r="B27" s="4" t="s">
        <v>37</v>
      </c>
      <c r="C27" s="4" t="s">
        <v>38</v>
      </c>
    </row>
    <row r="28" spans="1:3" x14ac:dyDescent="0.2">
      <c r="A28" s="5" t="s">
        <v>39</v>
      </c>
      <c r="B28" s="6">
        <v>60000</v>
      </c>
      <c r="C28" s="5" t="s">
        <v>40</v>
      </c>
    </row>
    <row r="29" spans="1:3" x14ac:dyDescent="0.2">
      <c r="A29" s="5" t="s">
        <v>41</v>
      </c>
      <c r="B29" s="6">
        <v>45000</v>
      </c>
      <c r="C29" s="5" t="s">
        <v>42</v>
      </c>
    </row>
    <row r="30" spans="1:3" x14ac:dyDescent="0.2">
      <c r="A30" s="5" t="s">
        <v>43</v>
      </c>
      <c r="B30" s="6">
        <v>40000</v>
      </c>
      <c r="C30" s="5" t="s">
        <v>44</v>
      </c>
    </row>
    <row r="31" spans="1:3" x14ac:dyDescent="0.2">
      <c r="A31" s="5" t="s">
        <v>45</v>
      </c>
      <c r="B31" s="6">
        <v>7000</v>
      </c>
      <c r="C31" s="5" t="s">
        <v>46</v>
      </c>
    </row>
    <row r="32" spans="1:3" x14ac:dyDescent="0.2">
      <c r="A32" s="5" t="s">
        <v>47</v>
      </c>
      <c r="B32" s="6">
        <v>60000</v>
      </c>
      <c r="C32" s="5" t="s">
        <v>48</v>
      </c>
    </row>
    <row r="33" spans="1:3" x14ac:dyDescent="0.2">
      <c r="A33" s="5" t="s">
        <v>49</v>
      </c>
      <c r="B33" s="7">
        <v>0.05</v>
      </c>
      <c r="C33" s="5" t="s">
        <v>50</v>
      </c>
    </row>
    <row r="34" spans="1:3" x14ac:dyDescent="0.2">
      <c r="A34" s="8" t="s">
        <v>51</v>
      </c>
      <c r="B34" s="9">
        <f>SUM(B28:B32)</f>
        <v>212000</v>
      </c>
    </row>
    <row r="35" spans="1:3" x14ac:dyDescent="0.2">
      <c r="A35" s="10" t="s">
        <v>52</v>
      </c>
      <c r="B35" s="11">
        <f>B34*(1+B33)</f>
        <v>222600</v>
      </c>
    </row>
    <row r="37" spans="1:3" ht="16" x14ac:dyDescent="0.2">
      <c r="A37" s="3" t="s">
        <v>53</v>
      </c>
    </row>
    <row r="38" spans="1:3" x14ac:dyDescent="0.2">
      <c r="A38" s="4" t="s">
        <v>36</v>
      </c>
      <c r="B38" s="4" t="s">
        <v>54</v>
      </c>
      <c r="C38" s="4" t="s">
        <v>55</v>
      </c>
    </row>
    <row r="39" spans="1:3" x14ac:dyDescent="0.2">
      <c r="A39" s="5" t="s">
        <v>39</v>
      </c>
      <c r="B39" s="6">
        <v>2030000</v>
      </c>
      <c r="C39" s="12">
        <f>B39/B44</f>
        <v>0.2317351598173516</v>
      </c>
    </row>
    <row r="40" spans="1:3" x14ac:dyDescent="0.2">
      <c r="A40" s="5" t="s">
        <v>41</v>
      </c>
      <c r="B40" s="6">
        <v>2020000</v>
      </c>
      <c r="C40" s="12">
        <f>B40/B44</f>
        <v>0.23059360730593606</v>
      </c>
    </row>
    <row r="41" spans="1:3" x14ac:dyDescent="0.2">
      <c r="A41" s="5" t="s">
        <v>43</v>
      </c>
      <c r="B41" s="6">
        <v>1820000</v>
      </c>
      <c r="C41" s="12">
        <f>B41/B44</f>
        <v>0.20776255707762556</v>
      </c>
    </row>
    <row r="42" spans="1:3" x14ac:dyDescent="0.2">
      <c r="A42" s="5" t="s">
        <v>45</v>
      </c>
      <c r="B42" s="6">
        <v>330000</v>
      </c>
      <c r="C42" s="12">
        <f>B42/B44</f>
        <v>3.7671232876712327E-2</v>
      </c>
    </row>
    <row r="43" spans="1:3" x14ac:dyDescent="0.2">
      <c r="A43" s="5" t="s">
        <v>47</v>
      </c>
      <c r="B43" s="6">
        <v>2560000</v>
      </c>
      <c r="C43" s="12">
        <f>B43/B44</f>
        <v>0.29223744292237441</v>
      </c>
    </row>
    <row r="44" spans="1:3" x14ac:dyDescent="0.2">
      <c r="A44" s="10" t="s">
        <v>56</v>
      </c>
      <c r="B44" s="11">
        <f>SUM(B39:B43)</f>
        <v>8760000</v>
      </c>
      <c r="C44" s="13">
        <v>1</v>
      </c>
    </row>
    <row r="46" spans="1:3" ht="16" x14ac:dyDescent="0.2">
      <c r="A46" s="3" t="s">
        <v>57</v>
      </c>
    </row>
    <row r="47" spans="1:3" x14ac:dyDescent="0.2">
      <c r="A47" s="4" t="s">
        <v>58</v>
      </c>
      <c r="B47" s="4" t="s">
        <v>59</v>
      </c>
      <c r="C47" s="4" t="s">
        <v>60</v>
      </c>
    </row>
    <row r="48" spans="1:3" x14ac:dyDescent="0.2">
      <c r="A48" s="5" t="s">
        <v>61</v>
      </c>
      <c r="B48" s="14">
        <v>0.8</v>
      </c>
      <c r="C48" s="5" t="s">
        <v>62</v>
      </c>
    </row>
    <row r="49" spans="1:3" x14ac:dyDescent="0.2">
      <c r="A49" s="5" t="s">
        <v>63</v>
      </c>
      <c r="B49" s="14">
        <v>1</v>
      </c>
      <c r="C49" s="5" t="s">
        <v>64</v>
      </c>
    </row>
    <row r="50" spans="1:3" x14ac:dyDescent="0.2">
      <c r="A50" s="5" t="s">
        <v>65</v>
      </c>
      <c r="B50" s="14">
        <v>1.2</v>
      </c>
      <c r="C50" s="5" t="s">
        <v>66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6"/>
  <sheetViews>
    <sheetView topLeftCell="A67" zoomScale="130" zoomScaleNormal="130" workbookViewId="0">
      <selection activeCell="D23" sqref="D23"/>
    </sheetView>
  </sheetViews>
  <sheetFormatPr baseColWidth="10" defaultColWidth="8.83203125" defaultRowHeight="15" x14ac:dyDescent="0.2"/>
  <cols>
    <col min="1" max="1" width="30.6640625" customWidth="1"/>
    <col min="2" max="3" width="18.6640625" customWidth="1"/>
  </cols>
  <sheetData>
    <row r="1" spans="1:2" ht="19" x14ac:dyDescent="0.25">
      <c r="A1" s="1" t="s">
        <v>67</v>
      </c>
    </row>
    <row r="2" spans="1:2" x14ac:dyDescent="0.2">
      <c r="A2" s="2" t="s">
        <v>68</v>
      </c>
    </row>
    <row r="4" spans="1:2" ht="16" x14ac:dyDescent="0.2">
      <c r="A4" s="3" t="s">
        <v>69</v>
      </c>
    </row>
    <row r="5" spans="1:2" x14ac:dyDescent="0.2">
      <c r="A5" s="4" t="s">
        <v>70</v>
      </c>
      <c r="B5" s="4" t="s">
        <v>4</v>
      </c>
    </row>
    <row r="6" spans="1:2" x14ac:dyDescent="0.2">
      <c r="A6" s="15" t="s">
        <v>71</v>
      </c>
    </row>
    <row r="7" spans="1:2" x14ac:dyDescent="0.2">
      <c r="A7" s="5" t="s">
        <v>72</v>
      </c>
      <c r="B7" s="16">
        <f>Inputs!B16*Inputs!B48</f>
        <v>6.4</v>
      </c>
    </row>
    <row r="8" spans="1:2" x14ac:dyDescent="0.2">
      <c r="A8" s="5" t="s">
        <v>73</v>
      </c>
      <c r="B8" s="16">
        <f>Inputs!B15*B7*Inputs!B17</f>
        <v>23360</v>
      </c>
    </row>
    <row r="9" spans="1:2" x14ac:dyDescent="0.2">
      <c r="A9" s="8" t="s">
        <v>74</v>
      </c>
      <c r="B9" s="9">
        <f>B8*Inputs!B6</f>
        <v>1868800</v>
      </c>
    </row>
    <row r="10" spans="1:2" x14ac:dyDescent="0.2">
      <c r="A10" s="15" t="s">
        <v>75</v>
      </c>
    </row>
    <row r="11" spans="1:2" x14ac:dyDescent="0.2">
      <c r="A11" s="5" t="s">
        <v>76</v>
      </c>
      <c r="B11" s="16">
        <f>Inputs!B20*Inputs!B48</f>
        <v>3200</v>
      </c>
    </row>
    <row r="12" spans="1:2" x14ac:dyDescent="0.2">
      <c r="A12" s="5" t="s">
        <v>77</v>
      </c>
      <c r="B12" s="16">
        <f>B11*Inputs!B8</f>
        <v>960000</v>
      </c>
    </row>
    <row r="13" spans="1:2" x14ac:dyDescent="0.2">
      <c r="A13" s="5" t="s">
        <v>78</v>
      </c>
      <c r="B13" s="16">
        <f>Inputs!B19*Inputs!B48</f>
        <v>8800</v>
      </c>
    </row>
    <row r="14" spans="1:2" x14ac:dyDescent="0.2">
      <c r="A14" s="5" t="s">
        <v>79</v>
      </c>
      <c r="B14" s="16">
        <f>MAX(0,B13-B11)</f>
        <v>5600</v>
      </c>
    </row>
    <row r="15" spans="1:2" x14ac:dyDescent="0.2">
      <c r="A15" s="5" t="s">
        <v>80</v>
      </c>
      <c r="B15" s="16">
        <f>B14*2</f>
        <v>11200</v>
      </c>
    </row>
    <row r="16" spans="1:2" x14ac:dyDescent="0.2">
      <c r="A16" s="5" t="s">
        <v>81</v>
      </c>
      <c r="B16" s="16">
        <f>Inputs!B18*Inputs!B48</f>
        <v>32000</v>
      </c>
    </row>
    <row r="17" spans="1:2" x14ac:dyDescent="0.2">
      <c r="A17" s="5" t="s">
        <v>82</v>
      </c>
      <c r="B17" s="16">
        <f>MIN(B15,B16)</f>
        <v>11200</v>
      </c>
    </row>
    <row r="18" spans="1:2" x14ac:dyDescent="0.2">
      <c r="A18" s="5" t="s">
        <v>83</v>
      </c>
      <c r="B18" s="16">
        <f>B17*Inputs!B7</f>
        <v>448000</v>
      </c>
    </row>
    <row r="19" spans="1:2" x14ac:dyDescent="0.2">
      <c r="A19" s="8" t="s">
        <v>84</v>
      </c>
      <c r="B19" s="9">
        <f>B12+B18</f>
        <v>1408000</v>
      </c>
    </row>
    <row r="20" spans="1:2" x14ac:dyDescent="0.2">
      <c r="A20" s="15" t="s">
        <v>85</v>
      </c>
    </row>
    <row r="21" spans="1:2" x14ac:dyDescent="0.2">
      <c r="A21" s="5" t="s">
        <v>76</v>
      </c>
      <c r="B21" s="16">
        <f>Inputs!B21*Inputs!B48</f>
        <v>12800</v>
      </c>
    </row>
    <row r="22" spans="1:2" x14ac:dyDescent="0.2">
      <c r="A22" s="8" t="s">
        <v>86</v>
      </c>
      <c r="B22" s="9">
        <f>B21*Inputs!B9</f>
        <v>1920000</v>
      </c>
    </row>
    <row r="23" spans="1:2" x14ac:dyDescent="0.2">
      <c r="A23" s="15" t="s">
        <v>87</v>
      </c>
    </row>
    <row r="24" spans="1:2" x14ac:dyDescent="0.2">
      <c r="A24" s="5" t="s">
        <v>88</v>
      </c>
      <c r="B24" s="16">
        <f>Inputs!B22*Inputs!B48</f>
        <v>6400</v>
      </c>
    </row>
    <row r="25" spans="1:2" x14ac:dyDescent="0.2">
      <c r="A25" s="5" t="s">
        <v>89</v>
      </c>
      <c r="B25" s="16">
        <f>B24/Inputs!B23</f>
        <v>3200</v>
      </c>
    </row>
    <row r="26" spans="1:2" x14ac:dyDescent="0.2">
      <c r="A26" s="8" t="s">
        <v>90</v>
      </c>
      <c r="B26" s="9">
        <f>B25*Inputs!B10</f>
        <v>96000</v>
      </c>
    </row>
    <row r="27" spans="1:2" x14ac:dyDescent="0.2">
      <c r="A27" s="15" t="s">
        <v>91</v>
      </c>
    </row>
    <row r="28" spans="1:2" x14ac:dyDescent="0.2">
      <c r="A28" s="5" t="s">
        <v>92</v>
      </c>
      <c r="B28" s="16">
        <f>Inputs!B24*Inputs!B48</f>
        <v>48000</v>
      </c>
    </row>
    <row r="29" spans="1:2" x14ac:dyDescent="0.2">
      <c r="A29" s="8" t="s">
        <v>93</v>
      </c>
      <c r="B29" s="9">
        <f>B28*Inputs!B11</f>
        <v>1440000</v>
      </c>
    </row>
    <row r="30" spans="1:2" x14ac:dyDescent="0.2">
      <c r="A30" s="10" t="s">
        <v>94</v>
      </c>
      <c r="B30" s="11">
        <f>B9+B19+B22+B26+B29</f>
        <v>6732800</v>
      </c>
    </row>
    <row r="32" spans="1:2" ht="16" x14ac:dyDescent="0.2">
      <c r="A32" s="3" t="s">
        <v>95</v>
      </c>
    </row>
    <row r="33" spans="1:2" x14ac:dyDescent="0.2">
      <c r="A33" s="4" t="s">
        <v>70</v>
      </c>
      <c r="B33" s="4" t="s">
        <v>4</v>
      </c>
    </row>
    <row r="34" spans="1:2" x14ac:dyDescent="0.2">
      <c r="A34" s="15" t="s">
        <v>71</v>
      </c>
    </row>
    <row r="35" spans="1:2" x14ac:dyDescent="0.2">
      <c r="A35" s="5" t="s">
        <v>72</v>
      </c>
      <c r="B35" s="16">
        <f>Inputs!B16*Inputs!B49</f>
        <v>8</v>
      </c>
    </row>
    <row r="36" spans="1:2" x14ac:dyDescent="0.2">
      <c r="A36" s="5" t="s">
        <v>73</v>
      </c>
      <c r="B36" s="16">
        <f>Inputs!B15*B35*Inputs!B17</f>
        <v>29200</v>
      </c>
    </row>
    <row r="37" spans="1:2" x14ac:dyDescent="0.2">
      <c r="A37" s="8" t="s">
        <v>74</v>
      </c>
      <c r="B37" s="9">
        <f>B36*Inputs!B6</f>
        <v>2336000</v>
      </c>
    </row>
    <row r="38" spans="1:2" x14ac:dyDescent="0.2">
      <c r="A38" s="15" t="s">
        <v>75</v>
      </c>
    </row>
    <row r="39" spans="1:2" x14ac:dyDescent="0.2">
      <c r="A39" s="5" t="s">
        <v>76</v>
      </c>
      <c r="B39" s="16">
        <f>Inputs!B20*Inputs!B49</f>
        <v>4000</v>
      </c>
    </row>
    <row r="40" spans="1:2" x14ac:dyDescent="0.2">
      <c r="A40" s="5" t="s">
        <v>77</v>
      </c>
      <c r="B40" s="16">
        <f>B39*Inputs!B8</f>
        <v>1200000</v>
      </c>
    </row>
    <row r="41" spans="1:2" x14ac:dyDescent="0.2">
      <c r="A41" s="5" t="s">
        <v>78</v>
      </c>
      <c r="B41" s="16">
        <f>Inputs!B19*Inputs!B49</f>
        <v>11000</v>
      </c>
    </row>
    <row r="42" spans="1:2" x14ac:dyDescent="0.2">
      <c r="A42" s="5" t="s">
        <v>79</v>
      </c>
      <c r="B42" s="16">
        <f>MAX(0,B41-B39)</f>
        <v>7000</v>
      </c>
    </row>
    <row r="43" spans="1:2" x14ac:dyDescent="0.2">
      <c r="A43" s="5" t="s">
        <v>80</v>
      </c>
      <c r="B43" s="16">
        <f>B42*2</f>
        <v>14000</v>
      </c>
    </row>
    <row r="44" spans="1:2" x14ac:dyDescent="0.2">
      <c r="A44" s="5" t="s">
        <v>81</v>
      </c>
      <c r="B44" s="16">
        <f>Inputs!B18*Inputs!B49</f>
        <v>40000</v>
      </c>
    </row>
    <row r="45" spans="1:2" x14ac:dyDescent="0.2">
      <c r="A45" s="5" t="s">
        <v>82</v>
      </c>
      <c r="B45" s="16">
        <f>MIN(B43,B44)</f>
        <v>14000</v>
      </c>
    </row>
    <row r="46" spans="1:2" x14ac:dyDescent="0.2">
      <c r="A46" s="5" t="s">
        <v>83</v>
      </c>
      <c r="B46" s="16">
        <f>B45*Inputs!B7</f>
        <v>560000</v>
      </c>
    </row>
    <row r="47" spans="1:2" x14ac:dyDescent="0.2">
      <c r="A47" s="8" t="s">
        <v>84</v>
      </c>
      <c r="B47" s="9">
        <f>B40+B46</f>
        <v>1760000</v>
      </c>
    </row>
    <row r="48" spans="1:2" x14ac:dyDescent="0.2">
      <c r="A48" s="15" t="s">
        <v>85</v>
      </c>
    </row>
    <row r="49" spans="1:2" x14ac:dyDescent="0.2">
      <c r="A49" s="5" t="s">
        <v>76</v>
      </c>
      <c r="B49" s="16">
        <f>Inputs!B21*Inputs!B49</f>
        <v>16000</v>
      </c>
    </row>
    <row r="50" spans="1:2" x14ac:dyDescent="0.2">
      <c r="A50" s="8" t="s">
        <v>86</v>
      </c>
      <c r="B50" s="9">
        <f>B49*Inputs!B9</f>
        <v>2400000</v>
      </c>
    </row>
    <row r="51" spans="1:2" x14ac:dyDescent="0.2">
      <c r="A51" s="15" t="s">
        <v>87</v>
      </c>
    </row>
    <row r="52" spans="1:2" x14ac:dyDescent="0.2">
      <c r="A52" s="5" t="s">
        <v>88</v>
      </c>
      <c r="B52" s="16">
        <f>Inputs!B22*Inputs!B49</f>
        <v>8000</v>
      </c>
    </row>
    <row r="53" spans="1:2" x14ac:dyDescent="0.2">
      <c r="A53" s="5" t="s">
        <v>89</v>
      </c>
      <c r="B53" s="16">
        <f>B52/Inputs!B23</f>
        <v>4000</v>
      </c>
    </row>
    <row r="54" spans="1:2" x14ac:dyDescent="0.2">
      <c r="A54" s="8" t="s">
        <v>90</v>
      </c>
      <c r="B54" s="9">
        <f>B53*Inputs!B10</f>
        <v>120000</v>
      </c>
    </row>
    <row r="55" spans="1:2" x14ac:dyDescent="0.2">
      <c r="A55" s="15" t="s">
        <v>91</v>
      </c>
    </row>
    <row r="56" spans="1:2" x14ac:dyDescent="0.2">
      <c r="A56" s="5" t="s">
        <v>92</v>
      </c>
      <c r="B56" s="16">
        <f>Inputs!B24*Inputs!B49</f>
        <v>60000</v>
      </c>
    </row>
    <row r="57" spans="1:2" x14ac:dyDescent="0.2">
      <c r="A57" s="8" t="s">
        <v>93</v>
      </c>
      <c r="B57" s="9">
        <f>B56*Inputs!B11</f>
        <v>1800000</v>
      </c>
    </row>
    <row r="58" spans="1:2" x14ac:dyDescent="0.2">
      <c r="A58" s="10" t="s">
        <v>94</v>
      </c>
      <c r="B58" s="11">
        <f>B37+B47+B50+B54+B57</f>
        <v>8416000</v>
      </c>
    </row>
    <row r="60" spans="1:2" ht="16" x14ac:dyDescent="0.2">
      <c r="A60" s="3" t="s">
        <v>96</v>
      </c>
    </row>
    <row r="61" spans="1:2" x14ac:dyDescent="0.2">
      <c r="A61" s="4" t="s">
        <v>70</v>
      </c>
      <c r="B61" s="4" t="s">
        <v>4</v>
      </c>
    </row>
    <row r="62" spans="1:2" x14ac:dyDescent="0.2">
      <c r="A62" s="15" t="s">
        <v>71</v>
      </c>
    </row>
    <row r="63" spans="1:2" x14ac:dyDescent="0.2">
      <c r="A63" s="5" t="s">
        <v>72</v>
      </c>
      <c r="B63" s="16">
        <f>Inputs!B16*Inputs!B50</f>
        <v>9.6</v>
      </c>
    </row>
    <row r="64" spans="1:2" x14ac:dyDescent="0.2">
      <c r="A64" s="5" t="s">
        <v>73</v>
      </c>
      <c r="B64" s="16">
        <f>Inputs!B15*B63*Inputs!B17</f>
        <v>35040</v>
      </c>
    </row>
    <row r="65" spans="1:2" x14ac:dyDescent="0.2">
      <c r="A65" s="8" t="s">
        <v>74</v>
      </c>
      <c r="B65" s="9">
        <f>B64*Inputs!B6</f>
        <v>2803200</v>
      </c>
    </row>
    <row r="66" spans="1:2" x14ac:dyDescent="0.2">
      <c r="A66" s="15" t="s">
        <v>75</v>
      </c>
    </row>
    <row r="67" spans="1:2" x14ac:dyDescent="0.2">
      <c r="A67" s="5" t="s">
        <v>76</v>
      </c>
      <c r="B67" s="16">
        <f>Inputs!B20*Inputs!B50</f>
        <v>4800</v>
      </c>
    </row>
    <row r="68" spans="1:2" x14ac:dyDescent="0.2">
      <c r="A68" s="5" t="s">
        <v>77</v>
      </c>
      <c r="B68" s="16">
        <f>B67*Inputs!B8</f>
        <v>1440000</v>
      </c>
    </row>
    <row r="69" spans="1:2" x14ac:dyDescent="0.2">
      <c r="A69" s="5" t="s">
        <v>78</v>
      </c>
      <c r="B69" s="16">
        <f>Inputs!B19*Inputs!B50</f>
        <v>13200</v>
      </c>
    </row>
    <row r="70" spans="1:2" x14ac:dyDescent="0.2">
      <c r="A70" s="5" t="s">
        <v>79</v>
      </c>
      <c r="B70" s="16">
        <f>MAX(0,B69-B67)</f>
        <v>8400</v>
      </c>
    </row>
    <row r="71" spans="1:2" x14ac:dyDescent="0.2">
      <c r="A71" s="5" t="s">
        <v>80</v>
      </c>
      <c r="B71" s="16">
        <f>B70*2</f>
        <v>16800</v>
      </c>
    </row>
    <row r="72" spans="1:2" x14ac:dyDescent="0.2">
      <c r="A72" s="5" t="s">
        <v>81</v>
      </c>
      <c r="B72" s="16">
        <f>Inputs!B18*Inputs!B50</f>
        <v>48000</v>
      </c>
    </row>
    <row r="73" spans="1:2" x14ac:dyDescent="0.2">
      <c r="A73" s="5" t="s">
        <v>82</v>
      </c>
      <c r="B73" s="16">
        <f>MIN(B71,B72)</f>
        <v>16800</v>
      </c>
    </row>
    <row r="74" spans="1:2" x14ac:dyDescent="0.2">
      <c r="A74" s="5" t="s">
        <v>83</v>
      </c>
      <c r="B74" s="16">
        <f>B73*Inputs!B7</f>
        <v>672000</v>
      </c>
    </row>
    <row r="75" spans="1:2" x14ac:dyDescent="0.2">
      <c r="A75" s="8" t="s">
        <v>84</v>
      </c>
      <c r="B75" s="9">
        <f>B68+B74</f>
        <v>2112000</v>
      </c>
    </row>
    <row r="76" spans="1:2" x14ac:dyDescent="0.2">
      <c r="A76" s="15" t="s">
        <v>85</v>
      </c>
    </row>
    <row r="77" spans="1:2" x14ac:dyDescent="0.2">
      <c r="A77" s="5" t="s">
        <v>76</v>
      </c>
      <c r="B77" s="16">
        <f>Inputs!B21*Inputs!B50</f>
        <v>19200</v>
      </c>
    </row>
    <row r="78" spans="1:2" x14ac:dyDescent="0.2">
      <c r="A78" s="8" t="s">
        <v>86</v>
      </c>
      <c r="B78" s="9">
        <f>B77*Inputs!B9</f>
        <v>2880000</v>
      </c>
    </row>
    <row r="79" spans="1:2" x14ac:dyDescent="0.2">
      <c r="A79" s="15" t="s">
        <v>87</v>
      </c>
    </row>
    <row r="80" spans="1:2" x14ac:dyDescent="0.2">
      <c r="A80" s="5" t="s">
        <v>88</v>
      </c>
      <c r="B80" s="16">
        <f>Inputs!B22*Inputs!B50</f>
        <v>9600</v>
      </c>
    </row>
    <row r="81" spans="1:2" x14ac:dyDescent="0.2">
      <c r="A81" s="5" t="s">
        <v>89</v>
      </c>
      <c r="B81" s="16">
        <f>B80/Inputs!B23</f>
        <v>4800</v>
      </c>
    </row>
    <row r="82" spans="1:2" x14ac:dyDescent="0.2">
      <c r="A82" s="8" t="s">
        <v>90</v>
      </c>
      <c r="B82" s="9">
        <f>B81*Inputs!B10</f>
        <v>144000</v>
      </c>
    </row>
    <row r="83" spans="1:2" x14ac:dyDescent="0.2">
      <c r="A83" s="15" t="s">
        <v>91</v>
      </c>
    </row>
    <row r="84" spans="1:2" x14ac:dyDescent="0.2">
      <c r="A84" s="5" t="s">
        <v>92</v>
      </c>
      <c r="B84" s="16">
        <f>Inputs!B24*Inputs!B50</f>
        <v>72000</v>
      </c>
    </row>
    <row r="85" spans="1:2" x14ac:dyDescent="0.2">
      <c r="A85" s="8" t="s">
        <v>93</v>
      </c>
      <c r="B85" s="9">
        <f>B84*Inputs!B11</f>
        <v>2160000</v>
      </c>
    </row>
    <row r="86" spans="1:2" x14ac:dyDescent="0.2">
      <c r="A86" s="10" t="s">
        <v>94</v>
      </c>
      <c r="B86" s="11">
        <f>B65+B75+B78+B82+B85</f>
        <v>10099200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5"/>
  <sheetViews>
    <sheetView zoomScale="120" zoomScaleNormal="120" workbookViewId="0">
      <selection activeCell="F38" sqref="F38"/>
    </sheetView>
  </sheetViews>
  <sheetFormatPr baseColWidth="10" defaultColWidth="8.83203125" defaultRowHeight="15" x14ac:dyDescent="0.2"/>
  <cols>
    <col min="1" max="1" width="24.6640625" customWidth="1"/>
    <col min="2" max="6" width="18.6640625" customWidth="1"/>
  </cols>
  <sheetData>
    <row r="1" spans="1:6" ht="19" x14ac:dyDescent="0.25">
      <c r="A1" s="1" t="s">
        <v>97</v>
      </c>
    </row>
    <row r="2" spans="1:6" x14ac:dyDescent="0.2">
      <c r="A2" s="2" t="s">
        <v>98</v>
      </c>
    </row>
    <row r="4" spans="1:6" ht="16" x14ac:dyDescent="0.2">
      <c r="A4" s="3" t="s">
        <v>99</v>
      </c>
    </row>
    <row r="5" spans="1:6" x14ac:dyDescent="0.2">
      <c r="A5" s="4" t="s">
        <v>36</v>
      </c>
      <c r="B5" s="4" t="s">
        <v>100</v>
      </c>
      <c r="C5" s="4" t="s">
        <v>101</v>
      </c>
      <c r="D5" s="4" t="s">
        <v>102</v>
      </c>
      <c r="E5" s="4" t="s">
        <v>103</v>
      </c>
      <c r="F5" s="4" t="s">
        <v>104</v>
      </c>
    </row>
    <row r="6" spans="1:6" x14ac:dyDescent="0.2">
      <c r="A6" s="5" t="s">
        <v>39</v>
      </c>
      <c r="B6" s="16">
        <f>'Revenue Calc'!B9</f>
        <v>1868800</v>
      </c>
      <c r="C6" s="16">
        <f>Inputs!B28</f>
        <v>60000</v>
      </c>
      <c r="D6" s="16">
        <f t="shared" ref="D6:D12" si="0">C6*12</f>
        <v>720000</v>
      </c>
      <c r="E6" s="16">
        <f t="shared" ref="E6:E12" si="1">B6-D6</f>
        <v>1148800</v>
      </c>
      <c r="F6" s="12">
        <f t="shared" ref="F6:F12" si="2">IF(B6=0,0,E6/B6)</f>
        <v>0.61472602739726023</v>
      </c>
    </row>
    <row r="7" spans="1:6" x14ac:dyDescent="0.2">
      <c r="A7" s="5" t="s">
        <v>41</v>
      </c>
      <c r="B7" s="16">
        <f>'Revenue Calc'!B19</f>
        <v>1408000</v>
      </c>
      <c r="C7" s="16">
        <f>Inputs!B29</f>
        <v>45000</v>
      </c>
      <c r="D7" s="16">
        <f t="shared" si="0"/>
        <v>540000</v>
      </c>
      <c r="E7" s="16">
        <f t="shared" si="1"/>
        <v>868000</v>
      </c>
      <c r="F7" s="12">
        <f t="shared" si="2"/>
        <v>0.61647727272727271</v>
      </c>
    </row>
    <row r="8" spans="1:6" x14ac:dyDescent="0.2">
      <c r="A8" s="5" t="s">
        <v>43</v>
      </c>
      <c r="B8" s="16">
        <f>'Revenue Calc'!B22</f>
        <v>1920000</v>
      </c>
      <c r="C8" s="16">
        <f>Inputs!B30</f>
        <v>40000</v>
      </c>
      <c r="D8" s="16">
        <f t="shared" si="0"/>
        <v>480000</v>
      </c>
      <c r="E8" s="16">
        <f t="shared" si="1"/>
        <v>1440000</v>
      </c>
      <c r="F8" s="12">
        <f t="shared" si="2"/>
        <v>0.75</v>
      </c>
    </row>
    <row r="9" spans="1:6" x14ac:dyDescent="0.2">
      <c r="A9" s="5" t="s">
        <v>45</v>
      </c>
      <c r="B9" s="16">
        <f>'Revenue Calc'!B26</f>
        <v>96000</v>
      </c>
      <c r="C9" s="16">
        <f>Inputs!B31</f>
        <v>7000</v>
      </c>
      <c r="D9" s="16">
        <f t="shared" si="0"/>
        <v>84000</v>
      </c>
      <c r="E9" s="16">
        <f t="shared" si="1"/>
        <v>12000</v>
      </c>
      <c r="F9" s="12">
        <f t="shared" si="2"/>
        <v>0.125</v>
      </c>
    </row>
    <row r="10" spans="1:6" x14ac:dyDescent="0.2">
      <c r="A10" s="5" t="s">
        <v>47</v>
      </c>
      <c r="B10" s="16">
        <f>'Revenue Calc'!B29</f>
        <v>1440000</v>
      </c>
      <c r="C10" s="16">
        <f>Inputs!B32</f>
        <v>60000</v>
      </c>
      <c r="D10" s="16">
        <f t="shared" si="0"/>
        <v>720000</v>
      </c>
      <c r="E10" s="16">
        <f t="shared" si="1"/>
        <v>720000</v>
      </c>
      <c r="F10" s="12">
        <f t="shared" si="2"/>
        <v>0.5</v>
      </c>
    </row>
    <row r="11" spans="1:6" x14ac:dyDescent="0.2">
      <c r="A11" s="8" t="s">
        <v>105</v>
      </c>
      <c r="B11" s="9">
        <f>SUM(B6:B10)</f>
        <v>6732800</v>
      </c>
      <c r="C11" s="9">
        <f>SUM(C6:C10)</f>
        <v>212000</v>
      </c>
      <c r="D11" s="9">
        <f t="shared" si="0"/>
        <v>2544000</v>
      </c>
      <c r="E11" s="9">
        <f t="shared" si="1"/>
        <v>4188800</v>
      </c>
      <c r="F11" s="17">
        <f t="shared" si="2"/>
        <v>0.62214828897338403</v>
      </c>
    </row>
    <row r="12" spans="1:6" x14ac:dyDescent="0.2">
      <c r="A12" s="10" t="s">
        <v>106</v>
      </c>
      <c r="B12" s="11">
        <f>B11</f>
        <v>6732800</v>
      </c>
      <c r="C12" s="11">
        <f>C11*(1+Inputs!B33)</f>
        <v>222600</v>
      </c>
      <c r="D12" s="11">
        <f t="shared" si="0"/>
        <v>2671200</v>
      </c>
      <c r="E12" s="11">
        <f t="shared" si="1"/>
        <v>4061600</v>
      </c>
      <c r="F12" s="13">
        <f t="shared" si="2"/>
        <v>0.60325570342205326</v>
      </c>
    </row>
    <row r="13" spans="1:6" x14ac:dyDescent="0.2">
      <c r="A13" s="5" t="s">
        <v>107</v>
      </c>
      <c r="B13" s="18">
        <f>IF(E12=0,0,Inputs!B44/E12)</f>
        <v>2.1567855032499508</v>
      </c>
    </row>
    <row r="15" spans="1:6" ht="16" x14ac:dyDescent="0.2">
      <c r="A15" s="3" t="s">
        <v>108</v>
      </c>
    </row>
    <row r="16" spans="1:6" x14ac:dyDescent="0.2">
      <c r="A16" s="4" t="s">
        <v>36</v>
      </c>
      <c r="B16" s="4" t="s">
        <v>100</v>
      </c>
      <c r="C16" s="4" t="s">
        <v>101</v>
      </c>
      <c r="D16" s="4" t="s">
        <v>102</v>
      </c>
      <c r="E16" s="4" t="s">
        <v>103</v>
      </c>
      <c r="F16" s="4" t="s">
        <v>104</v>
      </c>
    </row>
    <row r="17" spans="1:6" x14ac:dyDescent="0.2">
      <c r="A17" s="5" t="s">
        <v>39</v>
      </c>
      <c r="B17" s="16">
        <f>'Revenue Calc'!B37</f>
        <v>2336000</v>
      </c>
      <c r="C17" s="16">
        <f>Inputs!B28</f>
        <v>60000</v>
      </c>
      <c r="D17" s="16">
        <f t="shared" ref="D17:D23" si="3">C17*12</f>
        <v>720000</v>
      </c>
      <c r="E17" s="16">
        <f t="shared" ref="E17:E23" si="4">B17-D17</f>
        <v>1616000</v>
      </c>
      <c r="F17" s="12">
        <f t="shared" ref="F17:F23" si="5">IF(B17=0,0,E17/B17)</f>
        <v>0.69178082191780821</v>
      </c>
    </row>
    <row r="18" spans="1:6" x14ac:dyDescent="0.2">
      <c r="A18" s="5" t="s">
        <v>41</v>
      </c>
      <c r="B18" s="16">
        <f>'Revenue Calc'!B47</f>
        <v>1760000</v>
      </c>
      <c r="C18" s="16">
        <f>Inputs!B29</f>
        <v>45000</v>
      </c>
      <c r="D18" s="16">
        <f t="shared" si="3"/>
        <v>540000</v>
      </c>
      <c r="E18" s="16">
        <f t="shared" si="4"/>
        <v>1220000</v>
      </c>
      <c r="F18" s="12">
        <f t="shared" si="5"/>
        <v>0.69318181818181823</v>
      </c>
    </row>
    <row r="19" spans="1:6" x14ac:dyDescent="0.2">
      <c r="A19" s="5" t="s">
        <v>43</v>
      </c>
      <c r="B19" s="16">
        <f>'Revenue Calc'!B50</f>
        <v>2400000</v>
      </c>
      <c r="C19" s="16">
        <f>Inputs!B30</f>
        <v>40000</v>
      </c>
      <c r="D19" s="16">
        <f t="shared" si="3"/>
        <v>480000</v>
      </c>
      <c r="E19" s="16">
        <f t="shared" si="4"/>
        <v>1920000</v>
      </c>
      <c r="F19" s="12">
        <f t="shared" si="5"/>
        <v>0.8</v>
      </c>
    </row>
    <row r="20" spans="1:6" x14ac:dyDescent="0.2">
      <c r="A20" s="5" t="s">
        <v>45</v>
      </c>
      <c r="B20" s="16">
        <f>'Revenue Calc'!B54</f>
        <v>120000</v>
      </c>
      <c r="C20" s="16">
        <f>Inputs!B31</f>
        <v>7000</v>
      </c>
      <c r="D20" s="16">
        <f t="shared" si="3"/>
        <v>84000</v>
      </c>
      <c r="E20" s="16">
        <f t="shared" si="4"/>
        <v>36000</v>
      </c>
      <c r="F20" s="12">
        <f t="shared" si="5"/>
        <v>0.3</v>
      </c>
    </row>
    <row r="21" spans="1:6" x14ac:dyDescent="0.2">
      <c r="A21" s="5" t="s">
        <v>47</v>
      </c>
      <c r="B21" s="16">
        <f>'Revenue Calc'!B57</f>
        <v>1800000</v>
      </c>
      <c r="C21" s="16">
        <f>Inputs!B32</f>
        <v>60000</v>
      </c>
      <c r="D21" s="16">
        <f t="shared" si="3"/>
        <v>720000</v>
      </c>
      <c r="E21" s="16">
        <f t="shared" si="4"/>
        <v>1080000</v>
      </c>
      <c r="F21" s="12">
        <f t="shared" si="5"/>
        <v>0.6</v>
      </c>
    </row>
    <row r="22" spans="1:6" x14ac:dyDescent="0.2">
      <c r="A22" s="8" t="s">
        <v>105</v>
      </c>
      <c r="B22" s="9">
        <f>SUM(B17:B21)</f>
        <v>8416000</v>
      </c>
      <c r="C22" s="9">
        <f>SUM(C17:C21)</f>
        <v>212000</v>
      </c>
      <c r="D22" s="9">
        <f t="shared" si="3"/>
        <v>2544000</v>
      </c>
      <c r="E22" s="9">
        <f t="shared" si="4"/>
        <v>5872000</v>
      </c>
      <c r="F22" s="17">
        <f t="shared" si="5"/>
        <v>0.69771863117870725</v>
      </c>
    </row>
    <row r="23" spans="1:6" x14ac:dyDescent="0.2">
      <c r="A23" s="10" t="s">
        <v>106</v>
      </c>
      <c r="B23" s="11">
        <f>B22</f>
        <v>8416000</v>
      </c>
      <c r="C23" s="11">
        <f>C22*(1+Inputs!B33)</f>
        <v>222600</v>
      </c>
      <c r="D23" s="11">
        <f t="shared" si="3"/>
        <v>2671200</v>
      </c>
      <c r="E23" s="11">
        <f t="shared" si="4"/>
        <v>5744800</v>
      </c>
      <c r="F23" s="13">
        <f t="shared" si="5"/>
        <v>0.68260456273764258</v>
      </c>
    </row>
    <row r="24" spans="1:6" x14ac:dyDescent="0.2">
      <c r="A24" s="5" t="s">
        <v>107</v>
      </c>
      <c r="B24" s="18">
        <f>IF(E23=0,0,Inputs!B44/E23)</f>
        <v>1.5248572622197465</v>
      </c>
    </row>
    <row r="26" spans="1:6" ht="16" x14ac:dyDescent="0.2">
      <c r="A26" s="3" t="s">
        <v>109</v>
      </c>
    </row>
    <row r="27" spans="1:6" x14ac:dyDescent="0.2">
      <c r="A27" s="4" t="s">
        <v>36</v>
      </c>
      <c r="B27" s="4" t="s">
        <v>100</v>
      </c>
      <c r="C27" s="4" t="s">
        <v>101</v>
      </c>
      <c r="D27" s="4" t="s">
        <v>102</v>
      </c>
      <c r="E27" s="4" t="s">
        <v>103</v>
      </c>
      <c r="F27" s="4" t="s">
        <v>104</v>
      </c>
    </row>
    <row r="28" spans="1:6" x14ac:dyDescent="0.2">
      <c r="A28" s="5" t="s">
        <v>39</v>
      </c>
      <c r="B28" s="16">
        <f>'Revenue Calc'!B65</f>
        <v>2803200</v>
      </c>
      <c r="C28" s="16">
        <f>Inputs!B28</f>
        <v>60000</v>
      </c>
      <c r="D28" s="16">
        <f t="shared" ref="D28:D34" si="6">C28*12</f>
        <v>720000</v>
      </c>
      <c r="E28" s="16">
        <f t="shared" ref="E28:E34" si="7">B28-D28</f>
        <v>2083200</v>
      </c>
      <c r="F28" s="12">
        <f t="shared" ref="F28:F34" si="8">IF(B28=0,0,E28/B28)</f>
        <v>0.74315068493150682</v>
      </c>
    </row>
    <row r="29" spans="1:6" x14ac:dyDescent="0.2">
      <c r="A29" s="5" t="s">
        <v>41</v>
      </c>
      <c r="B29" s="16">
        <f>'Revenue Calc'!B75</f>
        <v>2112000</v>
      </c>
      <c r="C29" s="16">
        <f>Inputs!B29</f>
        <v>45000</v>
      </c>
      <c r="D29" s="16">
        <f t="shared" si="6"/>
        <v>540000</v>
      </c>
      <c r="E29" s="16">
        <f t="shared" si="7"/>
        <v>1572000</v>
      </c>
      <c r="F29" s="12">
        <f t="shared" si="8"/>
        <v>0.74431818181818177</v>
      </c>
    </row>
    <row r="30" spans="1:6" x14ac:dyDescent="0.2">
      <c r="A30" s="5" t="s">
        <v>43</v>
      </c>
      <c r="B30" s="16">
        <f>'Revenue Calc'!B78</f>
        <v>2880000</v>
      </c>
      <c r="C30" s="16">
        <f>Inputs!B30</f>
        <v>40000</v>
      </c>
      <c r="D30" s="16">
        <f t="shared" si="6"/>
        <v>480000</v>
      </c>
      <c r="E30" s="16">
        <f t="shared" si="7"/>
        <v>2400000</v>
      </c>
      <c r="F30" s="12">
        <f t="shared" si="8"/>
        <v>0.83333333333333337</v>
      </c>
    </row>
    <row r="31" spans="1:6" x14ac:dyDescent="0.2">
      <c r="A31" s="5" t="s">
        <v>45</v>
      </c>
      <c r="B31" s="16">
        <f>'Revenue Calc'!B82</f>
        <v>144000</v>
      </c>
      <c r="C31" s="16">
        <f>Inputs!B31</f>
        <v>7000</v>
      </c>
      <c r="D31" s="16">
        <f t="shared" si="6"/>
        <v>84000</v>
      </c>
      <c r="E31" s="16">
        <f t="shared" si="7"/>
        <v>60000</v>
      </c>
      <c r="F31" s="12">
        <f t="shared" si="8"/>
        <v>0.41666666666666669</v>
      </c>
    </row>
    <row r="32" spans="1:6" x14ac:dyDescent="0.2">
      <c r="A32" s="5" t="s">
        <v>47</v>
      </c>
      <c r="B32" s="16">
        <f>'Revenue Calc'!B85</f>
        <v>2160000</v>
      </c>
      <c r="C32" s="16">
        <f>Inputs!B32</f>
        <v>60000</v>
      </c>
      <c r="D32" s="16">
        <f t="shared" si="6"/>
        <v>720000</v>
      </c>
      <c r="E32" s="16">
        <f t="shared" si="7"/>
        <v>1440000</v>
      </c>
      <c r="F32" s="12">
        <f t="shared" si="8"/>
        <v>0.66666666666666663</v>
      </c>
    </row>
    <row r="33" spans="1:6" x14ac:dyDescent="0.2">
      <c r="A33" s="8" t="s">
        <v>105</v>
      </c>
      <c r="B33" s="9">
        <f>SUM(B28:B32)</f>
        <v>10099200</v>
      </c>
      <c r="C33" s="9">
        <f>SUM(C28:C32)</f>
        <v>212000</v>
      </c>
      <c r="D33" s="9">
        <f t="shared" si="6"/>
        <v>2544000</v>
      </c>
      <c r="E33" s="9">
        <f t="shared" si="7"/>
        <v>7555200</v>
      </c>
      <c r="F33" s="17">
        <f t="shared" si="8"/>
        <v>0.74809885931558939</v>
      </c>
    </row>
    <row r="34" spans="1:6" x14ac:dyDescent="0.2">
      <c r="A34" s="10" t="s">
        <v>106</v>
      </c>
      <c r="B34" s="11">
        <f>B33</f>
        <v>10099200</v>
      </c>
      <c r="C34" s="11">
        <f>C33*(1+Inputs!B33)</f>
        <v>222600</v>
      </c>
      <c r="D34" s="11">
        <f t="shared" si="6"/>
        <v>2671200</v>
      </c>
      <c r="E34" s="11">
        <f t="shared" si="7"/>
        <v>7428000</v>
      </c>
      <c r="F34" s="13">
        <f t="shared" si="8"/>
        <v>0.7355038022813688</v>
      </c>
    </row>
    <row r="35" spans="1:6" x14ac:dyDescent="0.2">
      <c r="A35" s="5" t="s">
        <v>107</v>
      </c>
      <c r="B35" s="18">
        <f>IF(E34=0,0,Inputs!B44/E34)</f>
        <v>1.1793214862681745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3"/>
  <sheetViews>
    <sheetView topLeftCell="A2" zoomScale="120" zoomScaleNormal="120" workbookViewId="0">
      <selection activeCell="D49" sqref="D49"/>
    </sheetView>
  </sheetViews>
  <sheetFormatPr baseColWidth="10" defaultColWidth="8.83203125" defaultRowHeight="15" x14ac:dyDescent="0.2"/>
  <cols>
    <col min="1" max="1" width="26.6640625" customWidth="1"/>
    <col min="2" max="6" width="16.6640625" customWidth="1"/>
  </cols>
  <sheetData>
    <row r="1" spans="1:6" ht="19" x14ac:dyDescent="0.25">
      <c r="A1" s="1" t="s">
        <v>110</v>
      </c>
    </row>
    <row r="2" spans="1:6" x14ac:dyDescent="0.2">
      <c r="A2" s="2" t="s">
        <v>111</v>
      </c>
    </row>
    <row r="4" spans="1:6" ht="16" x14ac:dyDescent="0.2">
      <c r="A4" s="3" t="s">
        <v>112</v>
      </c>
    </row>
    <row r="5" spans="1:6" x14ac:dyDescent="0.2">
      <c r="A5" s="4" t="s">
        <v>113</v>
      </c>
      <c r="B5" s="4" t="s">
        <v>36</v>
      </c>
      <c r="C5" s="4" t="s">
        <v>114</v>
      </c>
      <c r="D5" s="4" t="s">
        <v>115</v>
      </c>
      <c r="E5" s="4" t="s">
        <v>116</v>
      </c>
    </row>
    <row r="6" spans="1:6" x14ac:dyDescent="0.2">
      <c r="A6" s="5" t="s">
        <v>117</v>
      </c>
      <c r="B6" s="5" t="s">
        <v>39</v>
      </c>
      <c r="C6" s="5" t="s">
        <v>118</v>
      </c>
      <c r="D6" s="5" t="s">
        <v>119</v>
      </c>
      <c r="E6" s="16">
        <f>Inputs!B39</f>
        <v>2030000</v>
      </c>
    </row>
    <row r="7" spans="1:6" x14ac:dyDescent="0.2">
      <c r="A7" s="5" t="s">
        <v>120</v>
      </c>
      <c r="B7" s="5" t="s">
        <v>41</v>
      </c>
      <c r="C7" s="5" t="s">
        <v>121</v>
      </c>
      <c r="D7" s="5" t="s">
        <v>122</v>
      </c>
      <c r="E7" s="16">
        <f>Inputs!B40</f>
        <v>2020000</v>
      </c>
    </row>
    <row r="8" spans="1:6" x14ac:dyDescent="0.2">
      <c r="A8" s="5" t="s">
        <v>123</v>
      </c>
      <c r="B8" s="5" t="s">
        <v>43</v>
      </c>
      <c r="C8" s="5" t="s">
        <v>124</v>
      </c>
      <c r="D8" s="5" t="s">
        <v>125</v>
      </c>
      <c r="E8" s="16">
        <f>Inputs!B41</f>
        <v>1820000</v>
      </c>
    </row>
    <row r="9" spans="1:6" x14ac:dyDescent="0.2">
      <c r="A9" s="5" t="s">
        <v>126</v>
      </c>
      <c r="B9" s="5" t="s">
        <v>47</v>
      </c>
      <c r="C9" s="5" t="s">
        <v>127</v>
      </c>
      <c r="D9" s="5" t="s">
        <v>128</v>
      </c>
      <c r="E9" s="16">
        <f>Inputs!B43</f>
        <v>2560000</v>
      </c>
    </row>
    <row r="10" spans="1:6" x14ac:dyDescent="0.2">
      <c r="A10" s="5" t="s">
        <v>129</v>
      </c>
      <c r="B10" s="5" t="s">
        <v>45</v>
      </c>
      <c r="C10" s="5" t="s">
        <v>130</v>
      </c>
      <c r="D10" s="5" t="s">
        <v>131</v>
      </c>
      <c r="E10" s="16">
        <f>Inputs!B42</f>
        <v>330000</v>
      </c>
    </row>
    <row r="11" spans="1:6" x14ac:dyDescent="0.2">
      <c r="A11" s="10" t="s">
        <v>132</v>
      </c>
      <c r="E11" s="11">
        <f>Inputs!B44</f>
        <v>8760000</v>
      </c>
    </row>
    <row r="13" spans="1:6" ht="16" x14ac:dyDescent="0.2">
      <c r="A13" s="3" t="s">
        <v>133</v>
      </c>
    </row>
    <row r="14" spans="1:6" x14ac:dyDescent="0.2">
      <c r="A14" s="4" t="s">
        <v>36</v>
      </c>
      <c r="B14" s="4" t="s">
        <v>134</v>
      </c>
      <c r="C14" s="4" t="s">
        <v>135</v>
      </c>
      <c r="D14" s="4" t="s">
        <v>136</v>
      </c>
      <c r="E14" s="4" t="s">
        <v>137</v>
      </c>
      <c r="F14" s="4" t="s">
        <v>138</v>
      </c>
    </row>
    <row r="15" spans="1:6" x14ac:dyDescent="0.2">
      <c r="A15" s="5" t="s">
        <v>39</v>
      </c>
      <c r="B15" s="19">
        <v>4</v>
      </c>
      <c r="C15" s="19">
        <v>12</v>
      </c>
      <c r="D15" s="19">
        <v>12</v>
      </c>
      <c r="E15" s="19">
        <v>12</v>
      </c>
      <c r="F15" s="19">
        <v>12</v>
      </c>
    </row>
    <row r="16" spans="1:6" x14ac:dyDescent="0.2">
      <c r="A16" s="5" t="s">
        <v>41</v>
      </c>
      <c r="B16" s="19">
        <v>0</v>
      </c>
      <c r="C16" s="19">
        <v>2</v>
      </c>
      <c r="D16" s="19">
        <v>12</v>
      </c>
      <c r="E16" s="19">
        <v>12</v>
      </c>
      <c r="F16" s="19">
        <v>12</v>
      </c>
    </row>
    <row r="17" spans="1:6" x14ac:dyDescent="0.2">
      <c r="A17" s="5" t="s">
        <v>43</v>
      </c>
      <c r="B17" s="19">
        <v>0</v>
      </c>
      <c r="C17" s="19">
        <v>0</v>
      </c>
      <c r="D17" s="19">
        <v>10</v>
      </c>
      <c r="E17" s="19">
        <v>12</v>
      </c>
      <c r="F17" s="19">
        <v>12</v>
      </c>
    </row>
    <row r="18" spans="1:6" x14ac:dyDescent="0.2">
      <c r="A18" s="5" t="s">
        <v>45</v>
      </c>
      <c r="B18" s="19">
        <v>0</v>
      </c>
      <c r="C18" s="19">
        <v>0</v>
      </c>
      <c r="D18" s="19">
        <v>1</v>
      </c>
      <c r="E18" s="19">
        <v>12</v>
      </c>
      <c r="F18" s="19">
        <v>12</v>
      </c>
    </row>
    <row r="19" spans="1:6" x14ac:dyDescent="0.2">
      <c r="A19" s="5" t="s">
        <v>47</v>
      </c>
      <c r="B19" s="19">
        <v>0</v>
      </c>
      <c r="C19" s="19">
        <v>0</v>
      </c>
      <c r="D19" s="19">
        <v>0</v>
      </c>
      <c r="E19" s="19">
        <v>6</v>
      </c>
      <c r="F19" s="19">
        <v>12</v>
      </c>
    </row>
    <row r="21" spans="1:6" x14ac:dyDescent="0.2">
      <c r="A21" s="15" t="s">
        <v>139</v>
      </c>
    </row>
    <row r="22" spans="1:6" x14ac:dyDescent="0.2">
      <c r="A22" s="5" t="s">
        <v>39</v>
      </c>
      <c r="B22" s="16">
        <f>'Revenue Calc'!B37</f>
        <v>2336000</v>
      </c>
    </row>
    <row r="23" spans="1:6" x14ac:dyDescent="0.2">
      <c r="A23" s="5" t="s">
        <v>41</v>
      </c>
      <c r="B23" s="16">
        <f>'Revenue Calc'!B47</f>
        <v>1760000</v>
      </c>
    </row>
    <row r="24" spans="1:6" x14ac:dyDescent="0.2">
      <c r="A24" s="5" t="s">
        <v>43</v>
      </c>
      <c r="B24" s="16">
        <f>'Revenue Calc'!B50</f>
        <v>2400000</v>
      </c>
    </row>
    <row r="25" spans="1:6" x14ac:dyDescent="0.2">
      <c r="A25" s="5" t="s">
        <v>45</v>
      </c>
      <c r="B25" s="16">
        <f>'Revenue Calc'!B54</f>
        <v>120000</v>
      </c>
    </row>
    <row r="26" spans="1:6" x14ac:dyDescent="0.2">
      <c r="A26" s="5" t="s">
        <v>47</v>
      </c>
      <c r="B26" s="16">
        <f>'Revenue Calc'!B57</f>
        <v>1800000</v>
      </c>
    </row>
    <row r="28" spans="1:6" ht="16" x14ac:dyDescent="0.2">
      <c r="A28" s="3" t="s">
        <v>140</v>
      </c>
    </row>
    <row r="29" spans="1:6" x14ac:dyDescent="0.2">
      <c r="A29" s="4"/>
      <c r="B29" s="4" t="s">
        <v>134</v>
      </c>
      <c r="C29" s="4" t="s">
        <v>135</v>
      </c>
      <c r="D29" s="4" t="s">
        <v>136</v>
      </c>
      <c r="E29" s="4" t="s">
        <v>137</v>
      </c>
      <c r="F29" s="4" t="s">
        <v>138</v>
      </c>
    </row>
    <row r="30" spans="1:6" x14ac:dyDescent="0.2">
      <c r="A30" s="8" t="s">
        <v>141</v>
      </c>
      <c r="B30" s="9">
        <f>B22*B15/12+B23*B16/12+B24*B17/12+B25*B18/12+B26*B19/12</f>
        <v>778666.66666666663</v>
      </c>
      <c r="C30" s="9">
        <f>B22*C15/12+B23*C16/12+B24*C17/12+B25*C18/12+B26*C19/12</f>
        <v>2629333.3333333335</v>
      </c>
      <c r="D30" s="9">
        <f>B22*D15/12+B23*D16/12+B24*D17/12+B25*D18/12+B26*D19/12</f>
        <v>6106000</v>
      </c>
      <c r="E30" s="9">
        <f>B22*E15/12+B23*E16/12+B24*E17/12+B25*E18/12+B26*E19/12</f>
        <v>7516000</v>
      </c>
      <c r="F30" s="9">
        <f>B22*F15/12+B23*F16/12+B24*F17/12+B25*F18/12+B26*F19/12</f>
        <v>8416000</v>
      </c>
    </row>
    <row r="31" spans="1:6" x14ac:dyDescent="0.2">
      <c r="A31" s="5" t="s">
        <v>142</v>
      </c>
      <c r="B31" s="16">
        <f>(Inputs!B28*B15+Inputs!B29*B16+Inputs!B30*B17+Inputs!B31*B18+Inputs!B32*B19)*(1+Inputs!B33)</f>
        <v>252000</v>
      </c>
      <c r="C31" s="16">
        <f>(Inputs!B28*C15+Inputs!B29*C16+Inputs!B30*C17+Inputs!B31*C18+Inputs!B32*C19)*(1+Inputs!B33)</f>
        <v>850500</v>
      </c>
      <c r="D31" s="16">
        <f>(Inputs!B28*D15+Inputs!B29*D16+Inputs!B30*D17+Inputs!B31*D18+Inputs!B32*D19)*(1+Inputs!B33)</f>
        <v>1750350</v>
      </c>
      <c r="E31" s="16">
        <f>(Inputs!B28*E15+Inputs!B29*E16+Inputs!B30*E17+Inputs!B31*E18+Inputs!B32*E19)*(1+Inputs!B33)</f>
        <v>2293200</v>
      </c>
      <c r="F31" s="16">
        <f>(Inputs!B28*F15+Inputs!B29*F16+Inputs!B30*F17+Inputs!B31*F18+Inputs!B32*F19)*(1+Inputs!B33)</f>
        <v>2671200</v>
      </c>
    </row>
    <row r="32" spans="1:6" x14ac:dyDescent="0.2">
      <c r="A32" s="10" t="s">
        <v>143</v>
      </c>
      <c r="B32" s="11">
        <f>B30-B31</f>
        <v>526666.66666666663</v>
      </c>
      <c r="C32" s="11">
        <f>C30-C31</f>
        <v>1778833.3333333335</v>
      </c>
      <c r="D32" s="11">
        <f>D30-D31</f>
        <v>4355650</v>
      </c>
      <c r="E32" s="11">
        <f>E30-E31</f>
        <v>5222800</v>
      </c>
      <c r="F32" s="11">
        <f>F30-F31</f>
        <v>5744800</v>
      </c>
    </row>
    <row r="33" spans="1:6" x14ac:dyDescent="0.2">
      <c r="A33" s="5" t="s">
        <v>104</v>
      </c>
      <c r="B33" s="12">
        <f>IF(B30=0,0,B32/B30)</f>
        <v>0.67636986301369861</v>
      </c>
      <c r="C33" s="12">
        <f>IF(C30=0,0,C32/C30)</f>
        <v>0.67653397565922924</v>
      </c>
      <c r="D33" s="12">
        <f>IF(D30=0,0,D32/D30)</f>
        <v>0.71333933835571572</v>
      </c>
      <c r="E33" s="12">
        <f>IF(E30=0,0,E32/E30)</f>
        <v>0.69489089941458226</v>
      </c>
      <c r="F33" s="12">
        <f>IF(F30=0,0,F32/F30)</f>
        <v>0.68260456273764258</v>
      </c>
    </row>
    <row r="34" spans="1:6" x14ac:dyDescent="0.2">
      <c r="A34" s="8" t="s">
        <v>144</v>
      </c>
      <c r="B34" s="9">
        <f>B32</f>
        <v>526666.66666666663</v>
      </c>
      <c r="C34" s="9">
        <f>B34+C32</f>
        <v>2305500</v>
      </c>
      <c r="D34" s="9">
        <f>C34+D32</f>
        <v>6661150</v>
      </c>
      <c r="E34" s="9">
        <f>D34+E32</f>
        <v>11883950</v>
      </c>
      <c r="F34" s="9">
        <f>E34+F32</f>
        <v>17628750</v>
      </c>
    </row>
    <row r="35" spans="1:6" x14ac:dyDescent="0.2">
      <c r="A35" s="5" t="s">
        <v>145</v>
      </c>
      <c r="B35" s="12">
        <f>B34/Inputs!B44</f>
        <v>6.0121765601217653E-2</v>
      </c>
      <c r="C35" s="12">
        <f>C34/Inputs!B44</f>
        <v>0.2631849315068493</v>
      </c>
      <c r="D35" s="12">
        <f>D34/Inputs!B44</f>
        <v>0.76040525114155255</v>
      </c>
      <c r="E35" s="12">
        <f>E34/Inputs!B44</f>
        <v>1.3566152968036529</v>
      </c>
      <c r="F35" s="12">
        <f>F34/Inputs!B44</f>
        <v>2.0124143835616439</v>
      </c>
    </row>
    <row r="36" spans="1:6" x14ac:dyDescent="0.2">
      <c r="A36" s="5" t="s">
        <v>146</v>
      </c>
      <c r="B36" s="5" t="str">
        <f>IF(B34&gt;=Inputs!B44,"Yes","No")</f>
        <v>No</v>
      </c>
      <c r="C36" s="5" t="str">
        <f>IF(C34&gt;=Inputs!B44,"Yes","No")</f>
        <v>No</v>
      </c>
      <c r="D36" s="5" t="str">
        <f>IF(D34&gt;=Inputs!B44,"Yes","No")</f>
        <v>No</v>
      </c>
      <c r="E36" s="5" t="str">
        <f>IF(E34&gt;=Inputs!B44,"Yes","No")</f>
        <v>Yes</v>
      </c>
      <c r="F36" s="5" t="str">
        <f>IF(F34&gt;=Inputs!B44,"Yes","No")</f>
        <v>Yes</v>
      </c>
    </row>
    <row r="38" spans="1:6" ht="16" x14ac:dyDescent="0.2">
      <c r="A38" s="3" t="s">
        <v>147</v>
      </c>
    </row>
    <row r="39" spans="1:6" x14ac:dyDescent="0.2">
      <c r="A39" s="8" t="s">
        <v>148</v>
      </c>
      <c r="B39" s="9">
        <f>SUM(B30:F30)</f>
        <v>25446000</v>
      </c>
    </row>
    <row r="40" spans="1:6" x14ac:dyDescent="0.2">
      <c r="A40" s="5" t="s">
        <v>149</v>
      </c>
      <c r="B40" s="16">
        <f>SUM(B31:F31)</f>
        <v>7817250</v>
      </c>
    </row>
    <row r="41" spans="1:6" x14ac:dyDescent="0.2">
      <c r="A41" s="10" t="s">
        <v>150</v>
      </c>
      <c r="B41" s="11">
        <f>SUM(B32:F32)</f>
        <v>17628750</v>
      </c>
    </row>
    <row r="42" spans="1:6" x14ac:dyDescent="0.2">
      <c r="A42" s="5" t="s">
        <v>151</v>
      </c>
      <c r="B42" s="16">
        <f>Inputs!B44</f>
        <v>8760000</v>
      </c>
    </row>
    <row r="43" spans="1:6" x14ac:dyDescent="0.2">
      <c r="A43" s="5" t="s">
        <v>152</v>
      </c>
      <c r="B43" s="20">
        <f>IF(B42=0,0,B41/B42)</f>
        <v>2.0124143835616439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15"/>
  <sheetViews>
    <sheetView zoomScale="130" zoomScaleNormal="130" workbookViewId="0"/>
  </sheetViews>
  <sheetFormatPr baseColWidth="10" defaultColWidth="8.83203125" defaultRowHeight="15" x14ac:dyDescent="0.2"/>
  <cols>
    <col min="1" max="1" width="28.6640625" customWidth="1"/>
    <col min="2" max="4" width="20.6640625" customWidth="1"/>
  </cols>
  <sheetData>
    <row r="1" spans="1:4" ht="19" x14ac:dyDescent="0.25">
      <c r="A1" s="1" t="s">
        <v>153</v>
      </c>
    </row>
    <row r="2" spans="1:4" x14ac:dyDescent="0.2">
      <c r="A2" s="2" t="s">
        <v>154</v>
      </c>
    </row>
    <row r="4" spans="1:4" ht="16" x14ac:dyDescent="0.2">
      <c r="A4" s="3" t="s">
        <v>155</v>
      </c>
    </row>
    <row r="5" spans="1:4" x14ac:dyDescent="0.2">
      <c r="A5" s="4" t="s">
        <v>156</v>
      </c>
      <c r="B5" s="4" t="s">
        <v>61</v>
      </c>
      <c r="C5" s="4" t="s">
        <v>157</v>
      </c>
      <c r="D5" s="4" t="s">
        <v>65</v>
      </c>
    </row>
    <row r="6" spans="1:4" x14ac:dyDescent="0.2">
      <c r="A6" s="5" t="s">
        <v>100</v>
      </c>
      <c r="B6" s="16">
        <f>'Revenue Calc'!B30</f>
        <v>6732800</v>
      </c>
      <c r="C6" s="16">
        <f>'Revenue Calc'!B58</f>
        <v>8416000</v>
      </c>
      <c r="D6" s="16">
        <f>'Revenue Calc'!B86</f>
        <v>10099200</v>
      </c>
    </row>
    <row r="7" spans="1:4" x14ac:dyDescent="0.2">
      <c r="A7" s="5" t="s">
        <v>158</v>
      </c>
      <c r="B7" s="16">
        <f>Inputs!B35*12</f>
        <v>2671200</v>
      </c>
      <c r="C7" s="16">
        <f>Inputs!B35*12</f>
        <v>2671200</v>
      </c>
      <c r="D7" s="16">
        <f>Inputs!B35*12</f>
        <v>2671200</v>
      </c>
    </row>
    <row r="8" spans="1:4" x14ac:dyDescent="0.2">
      <c r="A8" s="10" t="s">
        <v>159</v>
      </c>
      <c r="B8" s="11">
        <f>B6-B7</f>
        <v>4061600</v>
      </c>
      <c r="C8" s="11">
        <f>C6-C7</f>
        <v>5744800</v>
      </c>
      <c r="D8" s="11">
        <f>D6-D7</f>
        <v>7428000</v>
      </c>
    </row>
    <row r="9" spans="1:4" x14ac:dyDescent="0.2">
      <c r="A9" s="5" t="s">
        <v>160</v>
      </c>
      <c r="B9" s="12">
        <f>IF(B6=0,0,B8/B6)</f>
        <v>0.60325570342205326</v>
      </c>
      <c r="C9" s="12">
        <f>IF(C6=0,0,C8/C6)</f>
        <v>0.68260456273764258</v>
      </c>
      <c r="D9" s="12">
        <f>IF(D6=0,0,D8/D6)</f>
        <v>0.7355038022813688</v>
      </c>
    </row>
    <row r="10" spans="1:4" x14ac:dyDescent="0.2">
      <c r="A10" s="5" t="s">
        <v>161</v>
      </c>
      <c r="B10" s="18">
        <f>IF(B8=0,0,Inputs!B44/B8)</f>
        <v>2.1567855032499508</v>
      </c>
      <c r="C10" s="18">
        <f>IF(C8=0,0,Inputs!B44/C8)</f>
        <v>1.5248572622197465</v>
      </c>
      <c r="D10" s="18">
        <f>IF(D8=0,0,Inputs!B44/D8)</f>
        <v>1.1793214862681745</v>
      </c>
    </row>
    <row r="12" spans="1:4" x14ac:dyDescent="0.2">
      <c r="A12" s="8" t="s">
        <v>151</v>
      </c>
      <c r="B12" s="9">
        <f>Inputs!B44</f>
        <v>8760000</v>
      </c>
    </row>
    <row r="13" spans="1:4" x14ac:dyDescent="0.2">
      <c r="A13" s="5" t="s">
        <v>162</v>
      </c>
      <c r="B13" s="16">
        <f>Inputs!B34</f>
        <v>212000</v>
      </c>
    </row>
    <row r="14" spans="1:4" x14ac:dyDescent="0.2">
      <c r="A14" s="5" t="s">
        <v>163</v>
      </c>
      <c r="B14" s="16">
        <f>Inputs!B35</f>
        <v>222600</v>
      </c>
    </row>
    <row r="15" spans="1:4" x14ac:dyDescent="0.2">
      <c r="A15" s="5" t="s">
        <v>164</v>
      </c>
      <c r="B15" s="5" t="s">
        <v>165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Inputs</vt:lpstr>
      <vt:lpstr>Revenue Calc</vt:lpstr>
      <vt:lpstr>Scenarios</vt:lpstr>
      <vt:lpstr>5-Year Projection</vt:lpstr>
      <vt:lpstr>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Revaz Lashkarava</cp:lastModifiedBy>
  <dcterms:created xsi:type="dcterms:W3CDTF">2026-02-24T12:44:50Z</dcterms:created>
  <dcterms:modified xsi:type="dcterms:W3CDTF">2026-02-24T12:49:47Z</dcterms:modified>
</cp:coreProperties>
</file>